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135" windowWidth="28800" windowHeight="13005" tabRatio="475" activeTab="0"/>
  </bookViews>
  <sheets>
    <sheet name="Antragsrechner" sheetId="1" r:id="rId1"/>
    <sheet name="Datenblatt" sheetId="2" r:id="rId2"/>
    <sheet name="Versuch" sheetId="3" state="hidden" r:id="rId3"/>
  </sheets>
  <definedNames>
    <definedName name="MASCHINE" localSheetId="0">'Antragsrechner'!$M$91:$M$120</definedName>
    <definedName name="MASCHINE" localSheetId="1">'Datenblatt'!#REF!</definedName>
    <definedName name="MASCHINE" localSheetId="2">'Versuch'!$M$90:$M$110</definedName>
    <definedName name="MASCHINE">#REF!</definedName>
    <definedName name="_xlnm.Print_Area" localSheetId="0">'Antragsrechner'!$A$1:$K$178</definedName>
    <definedName name="_xlnm.Print_Area" localSheetId="1">'Datenblatt'!$A$2:$J$102</definedName>
    <definedName name="_xlnm.Print_Area" localSheetId="2">'Versuch'!$A$1:$K$178</definedName>
  </definedNames>
  <calcPr fullCalcOnLoad="1"/>
</workbook>
</file>

<file path=xl/sharedStrings.xml><?xml version="1.0" encoding="utf-8"?>
<sst xmlns="http://schemas.openxmlformats.org/spreadsheetml/2006/main" count="824" uniqueCount="382">
  <si>
    <t>Telefax an:</t>
  </si>
  <si>
    <t>eMail an:</t>
  </si>
  <si>
    <t>INTER Allgemeine Versicherung AG</t>
  </si>
  <si>
    <t>Makler:</t>
  </si>
  <si>
    <t>Vermittler-Nr.:</t>
  </si>
  <si>
    <t xml:space="preserve"> </t>
  </si>
  <si>
    <t>Abteilung:</t>
  </si>
  <si>
    <t>Komposit/TV</t>
  </si>
  <si>
    <t>0621 - 427 7938</t>
  </si>
  <si>
    <t>Police an:</t>
  </si>
  <si>
    <t>Name/Firma:</t>
  </si>
  <si>
    <t>Anschrift:</t>
  </si>
  <si>
    <t>Betriebsart:</t>
  </si>
  <si>
    <t>Beginn:</t>
  </si>
  <si>
    <t>Ablauf:</t>
  </si>
  <si>
    <t>0 Uhr</t>
  </si>
  <si>
    <t>12 Uhr</t>
  </si>
  <si>
    <t>Zahlweise:</t>
  </si>
  <si>
    <t>Zahlungsart:</t>
  </si>
  <si>
    <t>Versicherer:</t>
  </si>
  <si>
    <t>Vertrags-Nr.:</t>
  </si>
  <si>
    <t>Vorversicherung:</t>
  </si>
  <si>
    <t>Gekündigt von:</t>
  </si>
  <si>
    <t>Anzahl:</t>
  </si>
  <si>
    <t>Höhe:</t>
  </si>
  <si>
    <t>Schadenart:</t>
  </si>
  <si>
    <t>Datum:</t>
  </si>
  <si>
    <t>Baujahr</t>
  </si>
  <si>
    <t>Serien-Nr.</t>
  </si>
  <si>
    <t>Neuwert/LP</t>
  </si>
  <si>
    <t>Hersteller / Typ</t>
  </si>
  <si>
    <t>Gesamtsumme (€)</t>
  </si>
  <si>
    <t>Prämiensatz</t>
  </si>
  <si>
    <r>
      <t>l</t>
    </r>
    <r>
      <rPr>
        <sz val="9"/>
        <rFont val="Arial"/>
        <family val="2"/>
      </rPr>
      <t xml:space="preserve"> Optionale Zuschläge:</t>
    </r>
  </si>
  <si>
    <r>
      <t>l</t>
    </r>
    <r>
      <rPr>
        <sz val="9"/>
        <rFont val="Arial"/>
        <family val="2"/>
      </rPr>
      <t xml:space="preserve"> Optionale Nachlässe:</t>
    </r>
  </si>
  <si>
    <r>
      <t>l</t>
    </r>
    <r>
      <rPr>
        <sz val="8"/>
        <rFont val="Arial"/>
        <family val="2"/>
      </rPr>
      <t xml:space="preserve"> Versicherungsbedingungen:</t>
    </r>
  </si>
  <si>
    <t>Allgemeine Bedingungen für die Maschinen- und Kaskoversicherung von fahrbaren oder</t>
  </si>
  <si>
    <t xml:space="preserve">transportablen Geräten (ABMG 2011) </t>
  </si>
  <si>
    <t>3236 (Innere Unruhen), 3507 (Angleichung), 3819 (Anerkennung), 3825 (Makler), 3911 (Daten)</t>
  </si>
  <si>
    <r>
      <t>l</t>
    </r>
    <r>
      <rPr>
        <sz val="8"/>
        <rFont val="Arial"/>
        <family val="2"/>
      </rPr>
      <t xml:space="preserve"> Standardklauseln:</t>
    </r>
  </si>
  <si>
    <r>
      <t>l</t>
    </r>
    <r>
      <rPr>
        <sz val="8"/>
        <rFont val="Arial"/>
        <family val="2"/>
      </rPr>
      <t xml:space="preserve"> Besondere Vereinbarungen:</t>
    </r>
    <r>
      <rPr>
        <sz val="8"/>
        <rFont val="Wingdings"/>
        <family val="0"/>
      </rPr>
      <t xml:space="preserve"> </t>
    </r>
  </si>
  <si>
    <t>Die Belehrung des Versicherungsnehmers über die vorvertragliche Anzeigepflicht gemäß § 19-22 des Versicherungsvertrags-</t>
  </si>
  <si>
    <t>gesetzes ist durch den Makler in gesonderter Mitteilung in Textform erfolgt.</t>
  </si>
  <si>
    <t>Ort, Datum</t>
  </si>
  <si>
    <t>Unterschrift</t>
  </si>
  <si>
    <t>Vorschäden:</t>
  </si>
  <si>
    <t>(Betrachtungszeitraum 5 Jahre)</t>
  </si>
  <si>
    <t>Geltungs-</t>
  </si>
  <si>
    <t>bereich:</t>
  </si>
  <si>
    <t xml:space="preserve">      Makler</t>
  </si>
  <si>
    <t xml:space="preserve">      Versicherungsnehmer</t>
  </si>
  <si>
    <t xml:space="preserve">      Deutschland </t>
  </si>
  <si>
    <t xml:space="preserve">      Deutschland &amp; Anrainerstaaten</t>
  </si>
  <si>
    <t xml:space="preserve">      Benannte Betriebsstätte:</t>
  </si>
  <si>
    <t xml:space="preserve">      Deckungsbestätigung an:</t>
  </si>
  <si>
    <t>Maschinenbezeichnung</t>
  </si>
  <si>
    <t xml:space="preserve">  </t>
  </si>
  <si>
    <t xml:space="preserve">             </t>
  </si>
  <si>
    <t>Prämie (in €)</t>
  </si>
  <si>
    <t>Selbstbehalt*</t>
  </si>
  <si>
    <t>Anhänger</t>
  </si>
  <si>
    <t>SB</t>
  </si>
  <si>
    <t>POSITION 01</t>
  </si>
  <si>
    <t>POSITION 02</t>
  </si>
  <si>
    <t>POSITION 03</t>
  </si>
  <si>
    <t>ZWISCHENSUMME POSITIONEN 1-3</t>
  </si>
  <si>
    <t>Pos1</t>
  </si>
  <si>
    <t>Pos2</t>
  </si>
  <si>
    <t>Pos3</t>
  </si>
  <si>
    <t xml:space="preserve">    Sonstige:</t>
  </si>
  <si>
    <t xml:space="preserve">     Lohnunternehmen</t>
  </si>
  <si>
    <r>
      <t>A. ANTRAGSTELLER (</t>
    </r>
    <r>
      <rPr>
        <sz val="9"/>
        <rFont val="Arial"/>
        <family val="2"/>
      </rPr>
      <t>Versicherungsnehmer)</t>
    </r>
  </si>
  <si>
    <t>B. LAUFZEIT / PRÄMIENZAHLUNG</t>
  </si>
  <si>
    <t>C. VORVERSICHERUNG / VORSCHÄDEN</t>
  </si>
  <si>
    <t>D. ALLGEMEINE RISIKOFRAGEN</t>
  </si>
  <si>
    <t>E. MASCHINENVERZEICHNIS</t>
  </si>
  <si>
    <t>F. PRÄMIENBERECHNUNG</t>
  </si>
  <si>
    <r>
      <t>G. ZUSÄTZLICHE VEREINBARUNGEN</t>
    </r>
    <r>
      <rPr>
        <sz val="9"/>
        <rFont val="Arial"/>
        <family val="2"/>
      </rPr>
      <t xml:space="preserve"> (Nebenabreden)</t>
    </r>
  </si>
  <si>
    <t>H. VERTRAGSGRUNDLAGEN</t>
  </si>
  <si>
    <t>I. UNTERSCHRIFTEN</t>
  </si>
  <si>
    <t>Verzicht auf die Angleichung der Prämien und Versicherungssummen (gemäß Klausel 3507)</t>
  </si>
  <si>
    <t>und Besonderen Vereinbarungen, sofern hierzu keine abweichenden Vereinbarungen unter den Nebenabreden getroffen wurden.</t>
  </si>
  <si>
    <t>Arbeitsmaschinen</t>
  </si>
  <si>
    <t>Ladegeräte</t>
  </si>
  <si>
    <t>Anbaugeräte</t>
  </si>
  <si>
    <t>Spezialfahrzeuge</t>
  </si>
  <si>
    <t>Gesamtprämie (gemäß Zahlungsweise)</t>
  </si>
  <si>
    <t>TV-Underwriting@Inter.de</t>
  </si>
  <si>
    <t xml:space="preserve">      Landwirtschaftsbetrieb</t>
  </si>
  <si>
    <t xml:space="preserve">      Einschluss Feuer</t>
  </si>
  <si>
    <t xml:space="preserve">      Garantierabatt (Neugerät)</t>
  </si>
  <si>
    <t xml:space="preserve">      Landw. Lohnunternehmen</t>
  </si>
  <si>
    <t xml:space="preserve">      Restschuldentschädigung</t>
  </si>
  <si>
    <t xml:space="preserve">      Dauernachlass (3 Jahre)</t>
  </si>
  <si>
    <t xml:space="preserve">      Ausschluss Diebstahl</t>
  </si>
  <si>
    <t xml:space="preserve">      SB-Halbierung</t>
  </si>
  <si>
    <t xml:space="preserve">      SB-Verdoppelung</t>
  </si>
  <si>
    <t xml:space="preserve">      Schadenvorausrabatt</t>
  </si>
  <si>
    <t xml:space="preserve">      Mengenrabatt (ab 3 / 5 / 9)</t>
  </si>
  <si>
    <t xml:space="preserve">      Ratenzahlungszuschlag</t>
  </si>
  <si>
    <t xml:space="preserve">      Versicherungssteuer</t>
  </si>
  <si>
    <t xml:space="preserve">mit der INTER Allg. Versicherung AG zu Grunde. Es gelten die darin aufgeführten Allgemeinen Versicherungsbedingungen, Klauseln </t>
  </si>
  <si>
    <t>9984 (Maschinenversicherung Exklusiv) oder 9981 (Maschinenversicherung Premium)</t>
  </si>
  <si>
    <t xml:space="preserve">      Einschluß Anrainerländer</t>
  </si>
  <si>
    <t xml:space="preserve">      Mehrkosten (BV 9983/85)</t>
  </si>
  <si>
    <t>Landwirtschaftliche Maschinen u. Geräte</t>
  </si>
  <si>
    <t>DECKUNGSAUFGABE</t>
  </si>
  <si>
    <t>* Die Selbstbeteiligung bei versichertem Abhandenkommen beträgt 10%, mind. der vereinbarte Selbstbehalt, max. 5.000 €</t>
  </si>
  <si>
    <t>Vollschutz</t>
  </si>
  <si>
    <t>Kaskoschutz</t>
  </si>
  <si>
    <t>Maschinengruppe</t>
  </si>
  <si>
    <t>Versicherungssumme</t>
  </si>
  <si>
    <t xml:space="preserve">      Inkl. Umsatzsteuer ?</t>
  </si>
  <si>
    <t>ja</t>
  </si>
  <si>
    <t>Bitte wählen</t>
  </si>
  <si>
    <t>OKZ:</t>
  </si>
  <si>
    <t xml:space="preserve">     Sonderzuschlag: </t>
  </si>
  <si>
    <t xml:space="preserve">     Sondernachlass: </t>
  </si>
  <si>
    <t>A. ANTRAGSTELLER</t>
  </si>
  <si>
    <t>Dauer</t>
  </si>
  <si>
    <t>Geltungsbereich:</t>
  </si>
  <si>
    <t>Mindestprämie</t>
  </si>
  <si>
    <t>Ratenzahl</t>
  </si>
  <si>
    <t>PS</t>
  </si>
  <si>
    <t>(bitte wählen)</t>
  </si>
  <si>
    <t>Anzahl</t>
  </si>
  <si>
    <t>Höhe</t>
  </si>
  <si>
    <t>Gruppe</t>
  </si>
  <si>
    <t>OKZ</t>
  </si>
  <si>
    <t>Erntemaschinen</t>
  </si>
  <si>
    <t>Feldhäcksler</t>
  </si>
  <si>
    <t>6314</t>
  </si>
  <si>
    <t>Kartoffelvollernter</t>
  </si>
  <si>
    <t>6312</t>
  </si>
  <si>
    <t>Mähdrescher</t>
  </si>
  <si>
    <t>Maishäcksler</t>
  </si>
  <si>
    <t>Rübenvollernter</t>
  </si>
  <si>
    <t>Zugmaschinen</t>
  </si>
  <si>
    <t>Ackerschlepper</t>
  </si>
  <si>
    <t>6301</t>
  </si>
  <si>
    <t>Kleintraktor</t>
  </si>
  <si>
    <t>Landwirtschaftl. Zugmaschine</t>
  </si>
  <si>
    <t>Schlepper</t>
  </si>
  <si>
    <t>Traktor</t>
  </si>
  <si>
    <t>Futtermischwagen</t>
  </si>
  <si>
    <t>6319</t>
  </si>
  <si>
    <t>Gülleselbstfahrer</t>
  </si>
  <si>
    <t>Selbstfahrende Feldspritze</t>
  </si>
  <si>
    <t>Abschiebewagen</t>
  </si>
  <si>
    <t>Ballensammelwagen</t>
  </si>
  <si>
    <t>Beregnungsanlage</t>
  </si>
  <si>
    <t>Drillmaschine</t>
  </si>
  <si>
    <t>Düngerstreuer</t>
  </si>
  <si>
    <t>Egge</t>
  </si>
  <si>
    <t>Frontlader</t>
  </si>
  <si>
    <t>Grubber</t>
  </si>
  <si>
    <t>Heuwender</t>
  </si>
  <si>
    <t>Holzspalter</t>
  </si>
  <si>
    <t>Kartoffellegemaschine</t>
  </si>
  <si>
    <t>Kreiselmäher, Kreiselmähwerk</t>
  </si>
  <si>
    <t>Miststreuer</t>
  </si>
  <si>
    <t>Pflug</t>
  </si>
  <si>
    <t>Saat- und Sämaschine</t>
  </si>
  <si>
    <t>Schwader</t>
  </si>
  <si>
    <t>Stroh(ballen)presse</t>
  </si>
  <si>
    <t>Walze</t>
  </si>
  <si>
    <t>Gabelstapler</t>
  </si>
  <si>
    <t>7061</t>
  </si>
  <si>
    <t>Hoflader</t>
  </si>
  <si>
    <t>Kompaktbagger (bis max. 10 t)</t>
  </si>
  <si>
    <t>Kompaktlader</t>
  </si>
  <si>
    <t>Radlader</t>
  </si>
  <si>
    <t>7203</t>
  </si>
  <si>
    <t>Mahl- und Mischwagen</t>
  </si>
  <si>
    <t>Tieflader</t>
  </si>
  <si>
    <t>Viehtransporter</t>
  </si>
  <si>
    <t>IBAN:</t>
  </si>
  <si>
    <t>Bankinstitut:</t>
  </si>
  <si>
    <t>POSITION 1</t>
  </si>
  <si>
    <t>POSITION 2</t>
  </si>
  <si>
    <t>POSITION 3</t>
  </si>
  <si>
    <r>
      <t xml:space="preserve">Tariflinie   </t>
    </r>
    <r>
      <rPr>
        <b/>
        <sz val="9"/>
        <rFont val="Arial Narrow"/>
        <family val="2"/>
      </rPr>
      <t>(bitte wählen)</t>
    </r>
  </si>
  <si>
    <t>P r e m i u m</t>
  </si>
  <si>
    <t>(wählen Sie Gruppe und Bez.)</t>
  </si>
  <si>
    <r>
      <rPr>
        <b/>
        <sz val="10"/>
        <rFont val="Arial"/>
        <family val="2"/>
      </rPr>
      <t>Deckungsvariante</t>
    </r>
    <r>
      <rPr>
        <sz val="10"/>
        <rFont val="Arial"/>
        <family val="0"/>
      </rPr>
      <t xml:space="preserve">   </t>
    </r>
    <r>
      <rPr>
        <sz val="10"/>
        <rFont val="Arial Narrow"/>
        <family val="2"/>
      </rPr>
      <t>(bitte wählen)</t>
    </r>
  </si>
  <si>
    <t xml:space="preserve">gekündigt von </t>
  </si>
  <si>
    <t>Prototyp</t>
  </si>
  <si>
    <t>Zweckentfremdung</t>
  </si>
  <si>
    <t>Teilschutz</t>
  </si>
  <si>
    <t>Maximales Maschinenalter</t>
  </si>
  <si>
    <t>Maschinenalter Jahre</t>
  </si>
  <si>
    <r>
      <t>l</t>
    </r>
    <r>
      <rPr>
        <sz val="9"/>
        <rFont val="Arial"/>
        <family val="2"/>
      </rPr>
      <t xml:space="preserve"> Sind die Maschinen in einem betriebsfertigen und funktionsfähigen Zustand?</t>
    </r>
  </si>
  <si>
    <t>betriebsfertiger Zustand</t>
  </si>
  <si>
    <t>max</t>
  </si>
  <si>
    <t>Alter M1</t>
  </si>
  <si>
    <t>Alter M2</t>
  </si>
  <si>
    <t>Alter M3</t>
  </si>
  <si>
    <t>Bewertung M1</t>
  </si>
  <si>
    <t>Bewertung M2</t>
  </si>
  <si>
    <t>Bewertung M3</t>
  </si>
  <si>
    <t xml:space="preserve">gewählte Zahlweise: </t>
  </si>
  <si>
    <r>
      <t>l</t>
    </r>
    <r>
      <rPr>
        <sz val="9"/>
        <rFont val="Arial"/>
        <family val="2"/>
      </rPr>
      <t xml:space="preserve"> Werden die Maschinen überwiegend zu landwirtschaftlichen Zwecken eingesetzt ?</t>
    </r>
  </si>
  <si>
    <t>Dem Deckungsauftrag liegt der Sondertarif für landwirtsch. Maschinen und Geräte der</t>
  </si>
  <si>
    <r>
      <t>l</t>
    </r>
    <r>
      <rPr>
        <sz val="9"/>
        <rFont val="Arial"/>
        <family val="2"/>
      </rPr>
      <t xml:space="preserve"> Handelt es um Serienmodelle (keine Prototypen, Nullserien oder Versuchsanlagen) ?</t>
    </r>
  </si>
  <si>
    <t>Traubenvollernter</t>
  </si>
  <si>
    <t>Traubenleser</t>
  </si>
  <si>
    <t>Silagewagen</t>
  </si>
  <si>
    <t>Silageanhänger</t>
  </si>
  <si>
    <t>Güllewagen</t>
  </si>
  <si>
    <t>Güllefass</t>
  </si>
  <si>
    <t>Teleskoplader</t>
  </si>
  <si>
    <t>Teleskopstapler</t>
  </si>
  <si>
    <t>Kartoffelroder</t>
  </si>
  <si>
    <t>Rübenroder</t>
  </si>
  <si>
    <t>Ladewagen</t>
  </si>
  <si>
    <t>Überladewagen</t>
  </si>
  <si>
    <t>Transportanhänger</t>
  </si>
  <si>
    <t>Balkenmäher</t>
  </si>
  <si>
    <t>Mähbalken</t>
  </si>
  <si>
    <t>Beregnungsmaschine</t>
  </si>
  <si>
    <t>Saatbettkombination</t>
  </si>
  <si>
    <t>Fräse (Bodenbearbeitung)</t>
  </si>
  <si>
    <t>Großpackenpresse</t>
  </si>
  <si>
    <t>Kreiselwender</t>
  </si>
  <si>
    <t>Zettwender</t>
  </si>
  <si>
    <t>Kegelspalter</t>
  </si>
  <si>
    <t>Mulchgerät</t>
  </si>
  <si>
    <t>Mähmulcher</t>
  </si>
  <si>
    <t>Packer</t>
  </si>
  <si>
    <t>Siloverteiler</t>
  </si>
  <si>
    <t>Ackerwalze</t>
  </si>
  <si>
    <t>Ballenpresse (Rundballen)</t>
  </si>
  <si>
    <t>Ballenpresse (Quader)</t>
  </si>
  <si>
    <t>Anhängefeldspritze</t>
  </si>
  <si>
    <t>Feldspritze</t>
  </si>
  <si>
    <t>Heckmähwerk</t>
  </si>
  <si>
    <t>Frontmähwerk</t>
  </si>
  <si>
    <t>Milchtankwagen</t>
  </si>
  <si>
    <t>Milchtransporter</t>
  </si>
  <si>
    <t>BEREICH.VERSCHIEBEN($T$470:$Z$506;1;VERGLEICH(J$72;$T$470:$Z$470;0)-1;ANZAHL2(INDEX($T$470:$Z$506;;VERGLEICH(J$72;$T$470:$Z$470;0)))-1;1)</t>
  </si>
  <si>
    <t>Schlüssel</t>
  </si>
  <si>
    <t>AnhängerP r e m i u mVollschutz</t>
  </si>
  <si>
    <t>ErntemaschinenE x k l u s i vVollschutz</t>
  </si>
  <si>
    <t>ErntemaschinenE x k l u s i vTeilschutz</t>
  </si>
  <si>
    <t>ZugmaschinenE x k l u s i vVollschutz</t>
  </si>
  <si>
    <t>ZugmaschinenE x k l u s i vTeilschutz</t>
  </si>
  <si>
    <t>ArbeitsmaschinenE x k l u s i vVollschutz</t>
  </si>
  <si>
    <t>ArbeitsmaschinenE x k l u s i vTeilschutz</t>
  </si>
  <si>
    <t>AnhängerE x k l u s i vVollschutz</t>
  </si>
  <si>
    <t>AnhängerE x k l u s i vTeilschutz</t>
  </si>
  <si>
    <t>AnbaugeräteE x k l u s i vVollschutz</t>
  </si>
  <si>
    <t>AnbaugeräteE x k l u s i vTeilschutz</t>
  </si>
  <si>
    <t>LadegeräteE x k l u s i vVollschutz</t>
  </si>
  <si>
    <t>LadegeräteE x k l u s i vTeilschutz</t>
  </si>
  <si>
    <t>SpezialfahrzeugeE x k l u s i vVollschutz</t>
  </si>
  <si>
    <t>SpezialfahrzeugeE x k l u s i vKaskoschutz</t>
  </si>
  <si>
    <t>SpezialfahrzeugeE x k l u s i vTeilschutz</t>
  </si>
  <si>
    <t>ErntemaschinenP r e m i u mVollschutz</t>
  </si>
  <si>
    <t>ErntemaschinenP r e m i u mTeilschutz</t>
  </si>
  <si>
    <t>ZugmaschinenP r e m i u mVollschutz</t>
  </si>
  <si>
    <t>ZugmaschinenP r e m i u mTeilschutz</t>
  </si>
  <si>
    <t>ArbeitsmaschinenP r e m i u mVollschutz</t>
  </si>
  <si>
    <t>ArbeitsmaschinenP r e m i u mTeilschutz</t>
  </si>
  <si>
    <t>AnhängerP r e m i u mTeilschutz</t>
  </si>
  <si>
    <t>AnbaugeräteP r e m i u mVollschutz</t>
  </si>
  <si>
    <t>AnbaugeräteP r e m i u mTeilschutz</t>
  </si>
  <si>
    <t>LadegeräteP r e m i u mVollschutz</t>
  </si>
  <si>
    <t>LadegeräteP r e m i u mTeilschutz</t>
  </si>
  <si>
    <t>SpezialfahrzeugeP r e m i u mVollschutz</t>
  </si>
  <si>
    <t>SpezialfahrzeugeP r e m i u mKaskoschutz</t>
  </si>
  <si>
    <t>SpezialfahrzeugeP r e m i u mTeilschutz</t>
  </si>
  <si>
    <t>ErntemaschinenE x k l u s i vKaskoschutz</t>
  </si>
  <si>
    <t>ZugmaschinenE x k l u s i vKaskoschutz</t>
  </si>
  <si>
    <t>ArbeitsmaschinenE x k l u s i vKaskoschutz</t>
  </si>
  <si>
    <t>AnhängerE x k l u s i vKaskoschutz</t>
  </si>
  <si>
    <t>AnbaugeräteE x k l u s i vKaskoschutz</t>
  </si>
  <si>
    <t>LadegeräteE x k l u s i vKaskoschutz</t>
  </si>
  <si>
    <t>ErntemaschinenP r e m i u mKaskoschutz</t>
  </si>
  <si>
    <t>ZugmaschinenP r e m i u mKaskoschutz</t>
  </si>
  <si>
    <t>ArbeitsmaschinenP r e m i u mKaskoschutz</t>
  </si>
  <si>
    <t>AnhängerP r e m i u mKaskoschutz</t>
  </si>
  <si>
    <t>AnbaugeräteP r e m i u mKaskoschutz</t>
  </si>
  <si>
    <t>LadegeräteP r e m i u mKaskoschutz</t>
  </si>
  <si>
    <t>Kombination</t>
  </si>
  <si>
    <t>Maschine passt nicht zur Gruppe !</t>
  </si>
  <si>
    <t xml:space="preserve">      jew. Sondertarif</t>
  </si>
  <si>
    <t>irgendwas</t>
  </si>
  <si>
    <t>Rabatt jew. Sondertarif</t>
  </si>
  <si>
    <t>Nettoprämie (ggf.Mindestprämie)</t>
  </si>
  <si>
    <t>Zuschlag %</t>
  </si>
  <si>
    <t>nein</t>
  </si>
  <si>
    <t>Rechnung</t>
  </si>
  <si>
    <t>Lohn:</t>
  </si>
  <si>
    <t>halbjährlich</t>
  </si>
  <si>
    <t>okz</t>
  </si>
  <si>
    <t>dv</t>
  </si>
  <si>
    <t>GP</t>
  </si>
  <si>
    <t>Feuer</t>
  </si>
  <si>
    <t>Garantie</t>
  </si>
  <si>
    <t>Restsch</t>
  </si>
  <si>
    <t>Mehrko</t>
  </si>
  <si>
    <t>SB halb /doppelt</t>
  </si>
  <si>
    <t xml:space="preserve">   Deckungsvariante</t>
  </si>
  <si>
    <t xml:space="preserve">   Grundprämie EUR</t>
  </si>
  <si>
    <t xml:space="preserve">   Selbstbehalt EUR *</t>
  </si>
  <si>
    <r>
      <t xml:space="preserve">   Prämiensatz </t>
    </r>
    <r>
      <rPr>
        <b/>
        <sz val="9"/>
        <rFont val="Calibri"/>
        <family val="2"/>
      </rPr>
      <t>‰</t>
    </r>
  </si>
  <si>
    <t xml:space="preserve">      Versicherungsteuer</t>
  </si>
  <si>
    <t>Landwirtschaftliche Maschinen und Geräte</t>
  </si>
  <si>
    <t>E-Mail an:</t>
  </si>
  <si>
    <t xml:space="preserve">         Tariflinie    </t>
  </si>
  <si>
    <t xml:space="preserve">  • Einschluss Feuer</t>
  </si>
  <si>
    <t xml:space="preserve">  • Garantierabatt (Neugerät)</t>
  </si>
  <si>
    <t xml:space="preserve">  • Restschuldentschädigung</t>
  </si>
  <si>
    <t xml:space="preserve">  • Mehrkosten (BV 9983/85)</t>
  </si>
  <si>
    <t xml:space="preserve">  • Ausschluss Diebstahl</t>
  </si>
  <si>
    <t>Position 2</t>
  </si>
  <si>
    <t>Position 3</t>
  </si>
  <si>
    <t>Position 1</t>
  </si>
  <si>
    <t>Gesamtprämie gemäß Zahlweise</t>
  </si>
  <si>
    <r>
      <t>l</t>
    </r>
    <r>
      <rPr>
        <sz val="9"/>
        <rFont val="Arial"/>
        <family val="2"/>
      </rPr>
      <t xml:space="preserve"> Handelt es sich um Serienmodelle (keine Prototypen, Nullserien oder Versuchsanlagen) ?</t>
    </r>
  </si>
  <si>
    <t>9981 (Maschinenversicherung Premium)</t>
  </si>
  <si>
    <t>9984 (Maschinenversicherung Exklusiv)</t>
  </si>
  <si>
    <t>BV</t>
  </si>
  <si>
    <t>Die Belehrung des Versicherungsnehmers über die vorvertragliche Anzeigepflicht gemäß § 19-22 des Versicherungsvertragsgesetzes ist durch</t>
  </si>
  <si>
    <t>den Makler in gesonderter Mitteilung in Textform erfolgt.</t>
  </si>
  <si>
    <t xml:space="preserve"> Dem Deckungsauftrag liegt der Sondertarif für landwirtschaftliche Maschinen und Geräte der INTER Allg. Versicherung AG zugrunde.</t>
  </si>
  <si>
    <t xml:space="preserve"> keine abweichenden Vereinbarungen unter den Nebenabreden getroffen wurden.</t>
  </si>
  <si>
    <t xml:space="preserve"> Es gelten die darin aufgeführten Allgemeinen Versicherungsbedingungen, Klauseln und Besonderen Vereinbarungen, sofern hierzu</t>
  </si>
  <si>
    <t>Nettoprämie inkl. aller Zu- / Abschläge (ggf. Mindestprämie)</t>
  </si>
  <si>
    <t xml:space="preserve">POSITION 1 </t>
  </si>
  <si>
    <t xml:space="preserve">POSITION 2 </t>
  </si>
  <si>
    <t xml:space="preserve">POSITION 3 </t>
  </si>
  <si>
    <t xml:space="preserve">Laufzeitrabatt            </t>
  </si>
  <si>
    <t>Zwischensumme Positionen 1 - 3</t>
  </si>
  <si>
    <r>
      <t xml:space="preserve">      Mengenrabatt </t>
    </r>
    <r>
      <rPr>
        <sz val="9"/>
        <rFont val="Arial Narrow"/>
        <family val="2"/>
      </rPr>
      <t>( 3 Maschinen )</t>
    </r>
  </si>
  <si>
    <t>Sonderzuschlag</t>
  </si>
  <si>
    <t xml:space="preserve">      Mengenrabatt (ab 3 )</t>
  </si>
  <si>
    <t>Sonderrabatt</t>
  </si>
  <si>
    <t xml:space="preserve">           SB-Variante</t>
  </si>
  <si>
    <t xml:space="preserve">   Einschluss Feuer</t>
  </si>
  <si>
    <t xml:space="preserve">   Garantierabatt (Neugerät)</t>
  </si>
  <si>
    <t xml:space="preserve">   Restschuldentschädigung</t>
  </si>
  <si>
    <t xml:space="preserve">   Mehrkosten (BV 9983/85)</t>
  </si>
  <si>
    <t xml:space="preserve">  Ausschluss Diebstahl</t>
  </si>
  <si>
    <t>(bitte wählen!)</t>
  </si>
  <si>
    <r>
      <t xml:space="preserve">  • Selbstbehalt  </t>
    </r>
    <r>
      <rPr>
        <sz val="9"/>
        <rFont val="Arial Narrow"/>
        <family val="2"/>
      </rPr>
      <t xml:space="preserve"> (bitte wählen!)</t>
    </r>
  </si>
  <si>
    <t>* Die Selbstbeteiligung bei versichertem Abhandenkommen beträgt 10%, mind. der vereinbarte Selbstbehalt, max. 10.000 €</t>
  </si>
  <si>
    <r>
      <t xml:space="preserve">Nettoprämie inkl. aller Zu-/Abschläge </t>
    </r>
    <r>
      <rPr>
        <sz val="9"/>
        <rFont val="Arial"/>
        <family val="2"/>
      </rPr>
      <t>(ggf. Mindestprämie)</t>
    </r>
  </si>
  <si>
    <t xml:space="preserve">  (bitte wählen!)</t>
  </si>
  <si>
    <t>(Gruppe + Bezeichnung wählen!)</t>
  </si>
  <si>
    <t xml:space="preserve">      Summe inkl. Umsatzsteuer?</t>
  </si>
  <si>
    <t xml:space="preserve">            Sonderzuschlag: </t>
  </si>
  <si>
    <t xml:space="preserve">            Sonderrabatt: </t>
  </si>
  <si>
    <t>Auswahl der Deckung je Position:</t>
  </si>
  <si>
    <t>Vermittler-Name:</t>
  </si>
  <si>
    <t>ungekündigt</t>
  </si>
  <si>
    <t>Vers.-nehmer</t>
  </si>
  <si>
    <t>Versicherer</t>
  </si>
  <si>
    <t>Zuschläge</t>
  </si>
  <si>
    <t>Einschluß Feuer</t>
  </si>
  <si>
    <t>Restschuld</t>
  </si>
  <si>
    <t>Mehrkosten</t>
  </si>
  <si>
    <t>SB halbiert</t>
  </si>
  <si>
    <t>Rabatte</t>
  </si>
  <si>
    <t>Ausschluß Dieb</t>
  </si>
  <si>
    <t>SB doppelt</t>
  </si>
  <si>
    <t xml:space="preserve">  Summe Zuschläge</t>
  </si>
  <si>
    <t xml:space="preserve">  Summe Rabatte</t>
  </si>
  <si>
    <t>Summe Grundprämien</t>
  </si>
  <si>
    <t>MP</t>
  </si>
  <si>
    <t>Max</t>
  </si>
  <si>
    <t>Zu</t>
  </si>
  <si>
    <t>Max + Zu</t>
  </si>
  <si>
    <t>Ab</t>
  </si>
  <si>
    <t>Max+Zu-Ab</t>
  </si>
  <si>
    <t>Maschinenalter</t>
  </si>
  <si>
    <t>Deutschland</t>
  </si>
  <si>
    <t>jährlich</t>
  </si>
  <si>
    <t>Standard</t>
  </si>
  <si>
    <t xml:space="preserve">      Sondertarif O.V.-Börse</t>
  </si>
  <si>
    <t>Ostfriesische Versicherungsbörse GmbH</t>
  </si>
  <si>
    <t>Email: info@ov-boerse.de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</si>
</sst>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7]dddd\,\ d\.\ mmmm\ yyyy"/>
    <numFmt numFmtId="167" formatCode="#,##0\ &quot;€&quot;"/>
    <numFmt numFmtId="168" formatCode="#,##0.00\ &quot;€&quot;"/>
    <numFmt numFmtId="169" formatCode="#,##0.0\ &quot;€&quot;"/>
    <numFmt numFmtId="170" formatCode="0.0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  <numFmt numFmtId="175" formatCode="#,##0.0"/>
    <numFmt numFmtId="176" formatCode="0.00000"/>
    <numFmt numFmtId="177" formatCode="0.0%"/>
    <numFmt numFmtId="178" formatCode="[$-F800]dddd\,\ mmmm\ dd\,\ yyyy"/>
    <numFmt numFmtId="179" formatCode="d/m/yy;@"/>
  </numFmts>
  <fonts count="108">
    <font>
      <sz val="10"/>
      <name val="Arial"/>
      <family val="0"/>
    </font>
    <font>
      <b/>
      <sz val="14"/>
      <color indexed="1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8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9"/>
      <name val="Wingdings"/>
      <family val="0"/>
    </font>
    <font>
      <sz val="14"/>
      <color indexed="1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Wingdings"/>
      <family val="0"/>
    </font>
    <font>
      <sz val="6"/>
      <name val="Wingdings"/>
      <family val="0"/>
    </font>
    <font>
      <sz val="8"/>
      <name val="Tahoma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b/>
      <sz val="16"/>
      <color indexed="18"/>
      <name val="Arial"/>
      <family val="2"/>
    </font>
    <font>
      <sz val="16"/>
      <name val="Arial"/>
      <family val="2"/>
    </font>
    <font>
      <sz val="16"/>
      <color indexed="18"/>
      <name val="Arial"/>
      <family val="2"/>
    </font>
    <font>
      <sz val="9"/>
      <name val="Bahnschrift"/>
      <family val="2"/>
    </font>
    <font>
      <sz val="9"/>
      <name val="Arial Narrow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Copperplate Gothic Bold"/>
      <family val="2"/>
    </font>
    <font>
      <u val="single"/>
      <sz val="9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b/>
      <sz val="8"/>
      <name val="Arial"/>
      <family val="2"/>
    </font>
    <font>
      <b/>
      <sz val="9"/>
      <name val="Calibri"/>
      <family val="2"/>
    </font>
    <font>
      <b/>
      <sz val="11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23"/>
      <name val="Arial"/>
      <family val="2"/>
    </font>
    <font>
      <sz val="9"/>
      <color indexed="2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60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b/>
      <sz val="9"/>
      <color indexed="10"/>
      <name val="Arial"/>
      <family val="2"/>
    </font>
    <font>
      <b/>
      <i/>
      <sz val="10"/>
      <color indexed="10"/>
      <name val="Arial"/>
      <family val="2"/>
    </font>
    <font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color indexed="8"/>
      <name val="Arial"/>
      <family val="2"/>
    </font>
    <font>
      <sz val="9"/>
      <color indexed="10"/>
      <name val="Wingdings"/>
      <family val="0"/>
    </font>
    <font>
      <b/>
      <sz val="9"/>
      <color indexed="63"/>
      <name val="Arial Narrow"/>
      <family val="2"/>
    </font>
    <font>
      <sz val="9"/>
      <color indexed="8"/>
      <name val="Arial"/>
      <family val="2"/>
    </font>
    <font>
      <b/>
      <sz val="10"/>
      <color indexed="60"/>
      <name val="Arial Black"/>
      <family val="2"/>
    </font>
    <font>
      <b/>
      <sz val="12"/>
      <color indexed="10"/>
      <name val="Arial Black"/>
      <family val="2"/>
    </font>
    <font>
      <b/>
      <sz val="8"/>
      <color indexed="10"/>
      <name val="Arial Narrow"/>
      <family val="2"/>
    </font>
    <font>
      <b/>
      <sz val="18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8"/>
      <color theme="3"/>
      <name val="Calibri Light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9"/>
      <color theme="0" tint="-0.4999699890613556"/>
      <name val="Arial"/>
      <family val="2"/>
    </font>
    <font>
      <sz val="9"/>
      <color theme="0" tint="-0.04997999966144562"/>
      <name val="Arial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C00000"/>
      <name val="Arial"/>
      <family val="2"/>
    </font>
    <font>
      <b/>
      <sz val="10"/>
      <color rgb="FFFF0000"/>
      <name val="Arial"/>
      <family val="2"/>
    </font>
    <font>
      <sz val="10"/>
      <color theme="1" tint="0.49998000264167786"/>
      <name val="Arial"/>
      <family val="2"/>
    </font>
    <font>
      <b/>
      <sz val="9"/>
      <color rgb="FFFF0000"/>
      <name val="Arial"/>
      <family val="2"/>
    </font>
    <font>
      <b/>
      <i/>
      <sz val="10"/>
      <color rgb="FFFF0000"/>
      <name val="Arial"/>
      <family val="2"/>
    </font>
    <font>
      <sz val="8"/>
      <color rgb="FFFF0000"/>
      <name val="Arial"/>
      <family val="2"/>
    </font>
    <font>
      <b/>
      <i/>
      <sz val="8"/>
      <color rgb="FFFF0000"/>
      <name val="Arial"/>
      <family val="2"/>
    </font>
    <font>
      <b/>
      <sz val="8"/>
      <color theme="1"/>
      <name val="Arial"/>
      <family val="2"/>
    </font>
    <font>
      <sz val="9"/>
      <color rgb="FFFF0000"/>
      <name val="Wingdings"/>
      <family val="0"/>
    </font>
    <font>
      <sz val="10"/>
      <color rgb="FFFF0000"/>
      <name val="Arial"/>
      <family val="2"/>
    </font>
    <font>
      <b/>
      <sz val="9"/>
      <color theme="2" tint="-0.7499799728393555"/>
      <name val="Arial Narrow"/>
      <family val="2"/>
    </font>
    <font>
      <sz val="9"/>
      <color theme="1"/>
      <name val="Arial"/>
      <family val="2"/>
    </font>
    <font>
      <b/>
      <sz val="8"/>
      <color rgb="FFFF0000"/>
      <name val="Arial Narrow"/>
      <family val="2"/>
    </font>
    <font>
      <b/>
      <sz val="12"/>
      <color rgb="FFFF0000"/>
      <name val="Arial Black"/>
      <family val="2"/>
    </font>
    <font>
      <b/>
      <sz val="10"/>
      <color theme="5" tint="-0.4999699890613556"/>
      <name val="Arial Black"/>
      <family val="2"/>
    </font>
    <font>
      <b/>
      <sz val="18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2060"/>
      </bottom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rgb="FF002060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51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4" borderId="0" xfId="0" applyFill="1" applyAlignment="1" applyProtection="1">
      <alignment/>
      <protection locked="0"/>
    </xf>
    <xf numFmtId="0" fontId="4" fillId="34" borderId="0" xfId="0" applyFont="1" applyFill="1" applyAlignment="1" applyProtection="1">
      <alignment/>
      <protection locked="0"/>
    </xf>
    <xf numFmtId="168" fontId="4" fillId="0" borderId="10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167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168" fontId="10" fillId="0" borderId="11" xfId="0" applyNumberFormat="1" applyFont="1" applyBorder="1" applyAlignment="1" applyProtection="1">
      <alignment/>
      <protection/>
    </xf>
    <xf numFmtId="168" fontId="10" fillId="0" borderId="10" xfId="0" applyNumberFormat="1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167" fontId="4" fillId="0" borderId="12" xfId="0" applyNumberFormat="1" applyFont="1" applyBorder="1" applyAlignment="1" applyProtection="1">
      <alignment horizontal="center"/>
      <protection/>
    </xf>
    <xf numFmtId="168" fontId="4" fillId="0" borderId="12" xfId="0" applyNumberFormat="1" applyFont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 locked="0"/>
    </xf>
    <xf numFmtId="0" fontId="4" fillId="36" borderId="0" xfId="0" applyFont="1" applyFill="1" applyAlignment="1" applyProtection="1">
      <alignment/>
      <protection/>
    </xf>
    <xf numFmtId="0" fontId="4" fillId="36" borderId="0" xfId="0" applyFont="1" applyFill="1" applyAlignment="1" applyProtection="1">
      <alignment/>
      <protection locked="0"/>
    </xf>
    <xf numFmtId="0" fontId="8" fillId="36" borderId="0" xfId="0" applyFont="1" applyFill="1" applyAlignment="1" applyProtection="1">
      <alignment/>
      <protection locked="0"/>
    </xf>
    <xf numFmtId="0" fontId="4" fillId="36" borderId="13" xfId="0" applyFont="1" applyFill="1" applyBorder="1" applyAlignment="1" applyProtection="1">
      <alignment/>
      <protection/>
    </xf>
    <xf numFmtId="0" fontId="8" fillId="36" borderId="0" xfId="0" applyFont="1" applyFill="1" applyAlignment="1" applyProtection="1">
      <alignment/>
      <protection/>
    </xf>
    <xf numFmtId="0" fontId="8" fillId="36" borderId="0" xfId="0" applyFont="1" applyFill="1" applyAlignment="1" applyProtection="1">
      <alignment/>
      <protection/>
    </xf>
    <xf numFmtId="0" fontId="8" fillId="36" borderId="0" xfId="0" applyFont="1" applyFill="1" applyAlignment="1" applyProtection="1">
      <alignment/>
      <protection locked="0"/>
    </xf>
    <xf numFmtId="0" fontId="4" fillId="36" borderId="0" xfId="0" applyFont="1" applyFill="1" applyAlignment="1" applyProtection="1">
      <alignment/>
      <protection/>
    </xf>
    <xf numFmtId="0" fontId="10" fillId="36" borderId="0" xfId="0" applyFont="1" applyFill="1" applyAlignment="1" applyProtection="1">
      <alignment/>
      <protection/>
    </xf>
    <xf numFmtId="0" fontId="10" fillId="36" borderId="0" xfId="0" applyFont="1" applyFill="1" applyAlignment="1" applyProtection="1">
      <alignment/>
      <protection/>
    </xf>
    <xf numFmtId="0" fontId="16" fillId="36" borderId="0" xfId="0" applyFont="1" applyFill="1" applyAlignment="1" applyProtection="1">
      <alignment horizontal="center"/>
      <protection/>
    </xf>
    <xf numFmtId="168" fontId="4" fillId="36" borderId="0" xfId="0" applyNumberFormat="1" applyFont="1" applyFill="1" applyAlignment="1" applyProtection="1">
      <alignment/>
      <protection/>
    </xf>
    <xf numFmtId="168" fontId="4" fillId="36" borderId="0" xfId="0" applyNumberFormat="1" applyFont="1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3" fillId="36" borderId="0" xfId="0" applyFont="1" applyFill="1" applyAlignment="1" applyProtection="1">
      <alignment/>
      <protection/>
    </xf>
    <xf numFmtId="0" fontId="3" fillId="36" borderId="0" xfId="0" applyFont="1" applyFill="1" applyAlignment="1" applyProtection="1">
      <alignment/>
      <protection locked="0"/>
    </xf>
    <xf numFmtId="9" fontId="87" fillId="36" borderId="14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88" fillId="36" borderId="0" xfId="0" applyFont="1" applyFill="1" applyAlignment="1" applyProtection="1">
      <alignment/>
      <protection locked="0"/>
    </xf>
    <xf numFmtId="9" fontId="4" fillId="0" borderId="14" xfId="0" applyNumberFormat="1" applyFont="1" applyFill="1" applyBorder="1" applyAlignment="1" applyProtection="1">
      <alignment horizontal="center"/>
      <protection locked="0"/>
    </xf>
    <xf numFmtId="0" fontId="1" fillId="37" borderId="0" xfId="0" applyFont="1" applyFill="1" applyAlignment="1" applyProtection="1">
      <alignment/>
      <protection/>
    </xf>
    <xf numFmtId="0" fontId="9" fillId="37" borderId="0" xfId="0" applyFont="1" applyFill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7" fillId="36" borderId="0" xfId="0" applyFont="1" applyFill="1" applyAlignment="1" applyProtection="1">
      <alignment/>
      <protection/>
    </xf>
    <xf numFmtId="0" fontId="4" fillId="36" borderId="0" xfId="0" applyFont="1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4" fillId="36" borderId="0" xfId="0" applyFont="1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Border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0" fillId="36" borderId="0" xfId="0" applyFill="1" applyAlignment="1">
      <alignment/>
    </xf>
    <xf numFmtId="0" fontId="0" fillId="37" borderId="0" xfId="0" applyFill="1" applyAlignment="1" applyProtection="1">
      <alignment/>
      <protection locked="0"/>
    </xf>
    <xf numFmtId="0" fontId="11" fillId="36" borderId="0" xfId="0" applyFont="1" applyFill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7" fillId="36" borderId="0" xfId="0" applyFont="1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11" fillId="36" borderId="0" xfId="0" applyFont="1" applyFill="1" applyAlignment="1" applyProtection="1">
      <alignment horizontal="left"/>
      <protection/>
    </xf>
    <xf numFmtId="0" fontId="0" fillId="36" borderId="0" xfId="0" applyFill="1" applyBorder="1" applyAlignment="1" applyProtection="1">
      <alignment/>
      <protection/>
    </xf>
    <xf numFmtId="0" fontId="0" fillId="36" borderId="0" xfId="0" applyFill="1" applyBorder="1" applyAlignment="1">
      <alignment/>
    </xf>
    <xf numFmtId="0" fontId="0" fillId="36" borderId="15" xfId="0" applyFill="1" applyBorder="1" applyAlignment="1" applyProtection="1">
      <alignment/>
      <protection locked="0"/>
    </xf>
    <xf numFmtId="0" fontId="0" fillId="36" borderId="13" xfId="0" applyFill="1" applyBorder="1" applyAlignment="1" applyProtection="1">
      <alignment/>
      <protection locked="0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 locked="0"/>
    </xf>
    <xf numFmtId="0" fontId="0" fillId="36" borderId="0" xfId="0" applyFont="1" applyFill="1" applyBorder="1" applyAlignment="1" applyProtection="1">
      <alignment/>
      <protection/>
    </xf>
    <xf numFmtId="0" fontId="23" fillId="36" borderId="0" xfId="0" applyFont="1" applyFill="1" applyAlignment="1" applyProtection="1">
      <alignment horizontal="left"/>
      <protection/>
    </xf>
    <xf numFmtId="0" fontId="22" fillId="36" borderId="0" xfId="0" applyFont="1" applyFill="1" applyAlignment="1" applyProtection="1">
      <alignment horizontal="left"/>
      <protection locked="0"/>
    </xf>
    <xf numFmtId="0" fontId="0" fillId="36" borderId="0" xfId="0" applyFont="1" applyFill="1" applyAlignment="1" applyProtection="1">
      <alignment horizontal="left"/>
      <protection/>
    </xf>
    <xf numFmtId="0" fontId="22" fillId="36" borderId="0" xfId="0" applyFont="1" applyFill="1" applyAlignment="1" applyProtection="1">
      <alignment/>
      <protection/>
    </xf>
    <xf numFmtId="0" fontId="21" fillId="36" borderId="0" xfId="0" applyFont="1" applyFill="1" applyAlignment="1" applyProtection="1">
      <alignment horizontal="right"/>
      <protection/>
    </xf>
    <xf numFmtId="0" fontId="21" fillId="36" borderId="0" xfId="0" applyFont="1" applyFill="1" applyAlignment="1" applyProtection="1">
      <alignment horizontal="left"/>
      <protection/>
    </xf>
    <xf numFmtId="0" fontId="11" fillId="36" borderId="0" xfId="0" applyFont="1" applyFill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7" fillId="36" borderId="0" xfId="0" applyFont="1" applyFill="1" applyAlignment="1" applyProtection="1">
      <alignment/>
      <protection/>
    </xf>
    <xf numFmtId="0" fontId="4" fillId="36" borderId="0" xfId="0" applyFont="1" applyFill="1" applyAlignment="1" applyProtection="1">
      <alignment horizontal="center"/>
      <protection locked="0"/>
    </xf>
    <xf numFmtId="9" fontId="87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4" fillId="36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88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14" fontId="10" fillId="0" borderId="10" xfId="0" applyNumberFormat="1" applyFont="1" applyBorder="1" applyAlignment="1" applyProtection="1">
      <alignment horizontal="center"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0" fontId="89" fillId="0" borderId="0" xfId="0" applyFont="1" applyFill="1" applyAlignment="1" applyProtection="1">
      <alignment horizontal="center"/>
      <protection/>
    </xf>
    <xf numFmtId="0" fontId="89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/>
    </xf>
    <xf numFmtId="4" fontId="10" fillId="0" borderId="10" xfId="0" applyNumberFormat="1" applyFont="1" applyBorder="1" applyAlignment="1" applyProtection="1">
      <alignment horizontal="center"/>
      <protection locked="0"/>
    </xf>
    <xf numFmtId="2" fontId="10" fillId="0" borderId="0" xfId="0" applyNumberFormat="1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90" fillId="0" borderId="16" xfId="0" applyFont="1" applyBorder="1" applyAlignment="1">
      <alignment horizontal="center"/>
    </xf>
    <xf numFmtId="0" fontId="91" fillId="0" borderId="0" xfId="0" applyFont="1" applyAlignment="1">
      <alignment/>
    </xf>
    <xf numFmtId="0" fontId="91" fillId="0" borderId="0" xfId="0" applyFont="1" applyAlignment="1">
      <alignment horizontal="center"/>
    </xf>
    <xf numFmtId="0" fontId="90" fillId="0" borderId="0" xfId="0" applyFont="1" applyAlignment="1">
      <alignment/>
    </xf>
    <xf numFmtId="0" fontId="90" fillId="0" borderId="0" xfId="0" applyFont="1" applyAlignment="1">
      <alignment horizontal="center"/>
    </xf>
    <xf numFmtId="0" fontId="25" fillId="36" borderId="0" xfId="0" applyFont="1" applyFill="1" applyAlignment="1" applyProtection="1">
      <alignment/>
      <protection/>
    </xf>
    <xf numFmtId="0" fontId="25" fillId="36" borderId="0" xfId="0" applyFont="1" applyFill="1" applyAlignment="1" applyProtection="1">
      <alignment/>
      <protection locked="0"/>
    </xf>
    <xf numFmtId="0" fontId="22" fillId="36" borderId="0" xfId="0" applyFont="1" applyFill="1" applyAlignment="1" applyProtection="1">
      <alignment/>
      <protection locked="0"/>
    </xf>
    <xf numFmtId="0" fontId="92" fillId="36" borderId="0" xfId="0" applyFont="1" applyFill="1" applyAlignment="1" applyProtection="1">
      <alignment/>
      <protection/>
    </xf>
    <xf numFmtId="49" fontId="7" fillId="3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wrapText="1"/>
      <protection locked="0"/>
    </xf>
    <xf numFmtId="0" fontId="4" fillId="2" borderId="18" xfId="0" applyFont="1" applyFill="1" applyBorder="1" applyAlignment="1" applyProtection="1">
      <alignment horizontal="center"/>
      <protection/>
    </xf>
    <xf numFmtId="0" fontId="4" fillId="2" borderId="18" xfId="0" applyFont="1" applyFill="1" applyBorder="1" applyAlignment="1" applyProtection="1">
      <alignment horizontal="right"/>
      <protection/>
    </xf>
    <xf numFmtId="0" fontId="4" fillId="36" borderId="0" xfId="0" applyFont="1" applyFill="1" applyAlignment="1" applyProtection="1">
      <alignment/>
      <protection/>
    </xf>
    <xf numFmtId="49" fontId="10" fillId="0" borderId="18" xfId="0" applyNumberFormat="1" applyFont="1" applyBorder="1" applyAlignment="1" applyProtection="1">
      <alignment horizontal="center"/>
      <protection locked="0"/>
    </xf>
    <xf numFmtId="0" fontId="4" fillId="36" borderId="0" xfId="0" applyFont="1" applyFill="1" applyAlignment="1" applyProtection="1">
      <alignment/>
      <protection/>
    </xf>
    <xf numFmtId="0" fontId="7" fillId="36" borderId="0" xfId="0" applyFont="1" applyFill="1" applyAlignment="1" applyProtection="1">
      <alignment/>
      <protection/>
    </xf>
    <xf numFmtId="0" fontId="7" fillId="36" borderId="0" xfId="0" applyFont="1" applyFill="1" applyAlignment="1" applyProtection="1">
      <alignment/>
      <protection locked="0"/>
    </xf>
    <xf numFmtId="49" fontId="10" fillId="0" borderId="10" xfId="0" applyNumberFormat="1" applyFont="1" applyBorder="1" applyAlignment="1" applyProtection="1">
      <alignment horizontal="center"/>
      <protection locked="0"/>
    </xf>
    <xf numFmtId="0" fontId="93" fillId="38" borderId="19" xfId="0" applyFont="1" applyFill="1" applyBorder="1" applyAlignment="1">
      <alignment vertical="center"/>
    </xf>
    <xf numFmtId="1" fontId="10" fillId="0" borderId="10" xfId="0" applyNumberFormat="1" applyFont="1" applyBorder="1" applyAlignment="1" applyProtection="1">
      <alignment horizontal="center"/>
      <protection locked="0"/>
    </xf>
    <xf numFmtId="179" fontId="10" fillId="0" borderId="10" xfId="0" applyNumberFormat="1" applyFont="1" applyBorder="1" applyAlignment="1" applyProtection="1">
      <alignment horizontal="center"/>
      <protection locked="0"/>
    </xf>
    <xf numFmtId="0" fontId="22" fillId="36" borderId="0" xfId="0" applyFont="1" applyFill="1" applyAlignment="1" applyProtection="1">
      <alignment horizontal="center"/>
      <protection/>
    </xf>
    <xf numFmtId="0" fontId="94" fillId="34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horizontal="center"/>
      <protection/>
    </xf>
    <xf numFmtId="49" fontId="26" fillId="0" borderId="10" xfId="0" applyNumberFormat="1" applyFont="1" applyBorder="1" applyAlignment="1" applyProtection="1">
      <alignment horizontal="center"/>
      <protection locked="0"/>
    </xf>
    <xf numFmtId="49" fontId="4" fillId="39" borderId="0" xfId="0" applyNumberFormat="1" applyFont="1" applyFill="1" applyAlignment="1" applyProtection="1">
      <alignment horizontal="center"/>
      <protection/>
    </xf>
    <xf numFmtId="49" fontId="4" fillId="39" borderId="0" xfId="0" applyNumberFormat="1" applyFont="1" applyFill="1" applyAlignment="1" applyProtection="1">
      <alignment/>
      <protection/>
    </xf>
    <xf numFmtId="0" fontId="10" fillId="0" borderId="0" xfId="0" applyNumberFormat="1" applyFont="1" applyFill="1" applyAlignment="1" applyProtection="1">
      <alignment horizontal="center"/>
      <protection/>
    </xf>
    <xf numFmtId="49" fontId="10" fillId="0" borderId="0" xfId="0" applyNumberFormat="1" applyFont="1" applyFill="1" applyAlignment="1" applyProtection="1">
      <alignment horizontal="center"/>
      <protection/>
    </xf>
    <xf numFmtId="0" fontId="17" fillId="36" borderId="0" xfId="0" applyFont="1" applyFill="1" applyAlignment="1" applyProtection="1">
      <alignment/>
      <protection locked="0"/>
    </xf>
    <xf numFmtId="0" fontId="17" fillId="36" borderId="0" xfId="0" applyFont="1" applyFill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7" fillId="36" borderId="0" xfId="0" applyFont="1" applyFill="1" applyAlignment="1" applyProtection="1">
      <alignment horizontal="left"/>
      <protection locked="0"/>
    </xf>
    <xf numFmtId="0" fontId="95" fillId="36" borderId="0" xfId="0" applyFont="1" applyFill="1" applyAlignment="1" applyProtection="1">
      <alignment vertical="center"/>
      <protection locked="0"/>
    </xf>
    <xf numFmtId="49" fontId="4" fillId="39" borderId="0" xfId="0" applyNumberFormat="1" applyFont="1" applyFill="1" applyAlignment="1" applyProtection="1">
      <alignment horizontal="left"/>
      <protection/>
    </xf>
    <xf numFmtId="0" fontId="0" fillId="0" borderId="20" xfId="0" applyFont="1" applyBorder="1" applyAlignment="1" applyProtection="1">
      <alignment horizontal="right"/>
      <protection locked="0"/>
    </xf>
    <xf numFmtId="0" fontId="0" fillId="0" borderId="12" xfId="0" applyBorder="1" applyAlignment="1" applyProtection="1">
      <alignment/>
      <protection locked="0"/>
    </xf>
    <xf numFmtId="0" fontId="93" fillId="0" borderId="21" xfId="0" applyFont="1" applyFill="1" applyBorder="1" applyAlignment="1">
      <alignment vertical="center"/>
    </xf>
    <xf numFmtId="0" fontId="0" fillId="0" borderId="22" xfId="0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1" fillId="9" borderId="20" xfId="0" applyFont="1" applyFill="1" applyBorder="1" applyAlignment="1" applyProtection="1">
      <alignment horizontal="right"/>
      <protection locked="0"/>
    </xf>
    <xf numFmtId="0" fontId="11" fillId="9" borderId="0" xfId="0" applyFont="1" applyFill="1" applyBorder="1" applyAlignment="1" applyProtection="1">
      <alignment horizontal="center"/>
      <protection locked="0"/>
    </xf>
    <xf numFmtId="0" fontId="11" fillId="9" borderId="13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center"/>
      <protection locked="0"/>
    </xf>
    <xf numFmtId="0" fontId="4" fillId="36" borderId="0" xfId="0" applyFont="1" applyFill="1" applyAlignment="1" applyProtection="1">
      <alignment/>
      <protection/>
    </xf>
    <xf numFmtId="0" fontId="25" fillId="36" borderId="0" xfId="0" applyFont="1" applyFill="1" applyAlignment="1" applyProtection="1">
      <alignment/>
      <protection/>
    </xf>
    <xf numFmtId="0" fontId="13" fillId="36" borderId="0" xfId="0" applyFont="1" applyFill="1" applyBorder="1" applyAlignment="1" applyProtection="1">
      <alignment/>
      <protection/>
    </xf>
    <xf numFmtId="0" fontId="3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91" fillId="9" borderId="0" xfId="0" applyFont="1" applyFill="1" applyAlignment="1">
      <alignment/>
    </xf>
    <xf numFmtId="14" fontId="28" fillId="36" borderId="0" xfId="0" applyNumberFormat="1" applyFont="1" applyFill="1" applyBorder="1" applyAlignment="1" applyProtection="1">
      <alignment horizontal="center"/>
      <protection/>
    </xf>
    <xf numFmtId="0" fontId="0" fillId="9" borderId="13" xfId="0" applyFont="1" applyFill="1" applyBorder="1" applyAlignment="1" applyProtection="1">
      <alignment/>
      <protection locked="0"/>
    </xf>
    <xf numFmtId="2" fontId="0" fillId="9" borderId="0" xfId="0" applyNumberFormat="1" applyFill="1" applyAlignment="1" applyProtection="1">
      <alignment horizontal="center"/>
      <protection locked="0"/>
    </xf>
    <xf numFmtId="2" fontId="0" fillId="13" borderId="0" xfId="0" applyNumberFormat="1" applyFill="1" applyAlignment="1" applyProtection="1">
      <alignment/>
      <protection locked="0"/>
    </xf>
    <xf numFmtId="0" fontId="0" fillId="13" borderId="13" xfId="0" applyFont="1" applyFill="1" applyBorder="1" applyAlignment="1" applyProtection="1">
      <alignment/>
      <protection locked="0"/>
    </xf>
    <xf numFmtId="2" fontId="0" fillId="13" borderId="0" xfId="0" applyNumberFormat="1" applyFill="1" applyBorder="1" applyAlignment="1" applyProtection="1">
      <alignment/>
      <protection locked="0"/>
    </xf>
    <xf numFmtId="2" fontId="0" fillId="13" borderId="13" xfId="0" applyNumberFormat="1" applyFill="1" applyBorder="1" applyAlignment="1" applyProtection="1">
      <alignment/>
      <protection locked="0"/>
    </xf>
    <xf numFmtId="2" fontId="0" fillId="9" borderId="0" xfId="0" applyNumberFormat="1" applyFill="1" applyBorder="1" applyAlignment="1" applyProtection="1">
      <alignment/>
      <protection locked="0"/>
    </xf>
    <xf numFmtId="2" fontId="0" fillId="9" borderId="13" xfId="0" applyNumberFormat="1" applyFill="1" applyBorder="1" applyAlignment="1" applyProtection="1">
      <alignment/>
      <protection locked="0"/>
    </xf>
    <xf numFmtId="2" fontId="96" fillId="0" borderId="16" xfId="0" applyNumberFormat="1" applyFont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29" fillId="33" borderId="0" xfId="0" applyFont="1" applyFill="1" applyAlignment="1" applyProtection="1">
      <alignment/>
      <protection locked="0"/>
    </xf>
    <xf numFmtId="0" fontId="30" fillId="36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97" fillId="0" borderId="0" xfId="0" applyFont="1" applyFill="1" applyAlignment="1" applyProtection="1">
      <alignment/>
      <protection locked="0"/>
    </xf>
    <xf numFmtId="49" fontId="3" fillId="0" borderId="0" xfId="0" applyNumberFormat="1" applyFont="1" applyFill="1" applyAlignment="1" applyProtection="1">
      <alignment/>
      <protection/>
    </xf>
    <xf numFmtId="0" fontId="31" fillId="36" borderId="0" xfId="0" applyFont="1" applyFill="1" applyAlignment="1" applyProtection="1">
      <alignment/>
      <protection locked="0"/>
    </xf>
    <xf numFmtId="0" fontId="31" fillId="0" borderId="0" xfId="0" applyFont="1" applyFill="1" applyAlignment="1" applyProtection="1">
      <alignment/>
      <protection/>
    </xf>
    <xf numFmtId="0" fontId="31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>
      <alignment/>
    </xf>
    <xf numFmtId="0" fontId="3" fillId="34" borderId="0" xfId="0" applyFont="1" applyFill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2" fontId="98" fillId="0" borderId="16" xfId="0" applyNumberFormat="1" applyFont="1" applyBorder="1" applyAlignment="1" applyProtection="1">
      <alignment/>
      <protection locked="0"/>
    </xf>
    <xf numFmtId="3" fontId="3" fillId="13" borderId="0" xfId="0" applyNumberFormat="1" applyFont="1" applyFill="1" applyAlignment="1" applyProtection="1">
      <alignment/>
      <protection locked="0"/>
    </xf>
    <xf numFmtId="3" fontId="3" fillId="9" borderId="0" xfId="0" applyNumberFormat="1" applyFont="1" applyFill="1" applyAlignment="1" applyProtection="1">
      <alignment/>
      <protection locked="0"/>
    </xf>
    <xf numFmtId="0" fontId="3" fillId="0" borderId="0" xfId="0" applyFont="1" applyAlignment="1">
      <alignment/>
    </xf>
    <xf numFmtId="0" fontId="99" fillId="0" borderId="16" xfId="0" applyFont="1" applyBorder="1" applyAlignment="1">
      <alignment/>
    </xf>
    <xf numFmtId="0" fontId="4" fillId="36" borderId="23" xfId="0" applyFont="1" applyFill="1" applyBorder="1" applyAlignment="1" applyProtection="1">
      <alignment/>
      <protection locked="0"/>
    </xf>
    <xf numFmtId="0" fontId="3" fillId="36" borderId="23" xfId="0" applyFont="1" applyFill="1" applyBorder="1" applyAlignment="1" applyProtection="1">
      <alignment/>
      <protection/>
    </xf>
    <xf numFmtId="167" fontId="0" fillId="0" borderId="0" xfId="0" applyNumberFormat="1" applyFont="1" applyAlignment="1" applyProtection="1">
      <alignment horizontal="center"/>
      <protection locked="0"/>
    </xf>
    <xf numFmtId="2" fontId="11" fillId="0" borderId="18" xfId="0" applyNumberFormat="1" applyFont="1" applyBorder="1" applyAlignment="1" applyProtection="1">
      <alignment horizontal="center"/>
      <protection locked="0"/>
    </xf>
    <xf numFmtId="168" fontId="10" fillId="0" borderId="24" xfId="0" applyNumberFormat="1" applyFont="1" applyBorder="1" applyAlignment="1" applyProtection="1">
      <alignment/>
      <protection/>
    </xf>
    <xf numFmtId="9" fontId="87" fillId="36" borderId="14" xfId="58" applyFont="1" applyFill="1" applyBorder="1" applyAlignment="1" applyProtection="1">
      <alignment horizontal="center"/>
      <protection/>
    </xf>
    <xf numFmtId="0" fontId="31" fillId="0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25" fillId="36" borderId="0" xfId="0" applyFont="1" applyFill="1" applyAlignment="1" applyProtection="1">
      <alignment/>
      <protection/>
    </xf>
    <xf numFmtId="0" fontId="7" fillId="36" borderId="0" xfId="0" applyFont="1" applyFill="1" applyAlignment="1" applyProtection="1">
      <alignment/>
      <protection/>
    </xf>
    <xf numFmtId="0" fontId="3" fillId="36" borderId="23" xfId="0" applyFont="1" applyFill="1" applyBorder="1" applyAlignment="1" applyProtection="1">
      <alignment/>
      <protection/>
    </xf>
    <xf numFmtId="0" fontId="13" fillId="36" borderId="0" xfId="0" applyFont="1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11" fillId="36" borderId="0" xfId="0" applyFont="1" applyFill="1" applyAlignment="1" applyProtection="1">
      <alignment/>
      <protection/>
    </xf>
    <xf numFmtId="0" fontId="13" fillId="36" borderId="0" xfId="0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15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 horizontal="center"/>
      <protection locked="0"/>
    </xf>
    <xf numFmtId="0" fontId="4" fillId="36" borderId="0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>
      <alignment/>
    </xf>
    <xf numFmtId="0" fontId="0" fillId="37" borderId="0" xfId="0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/>
    </xf>
    <xf numFmtId="0" fontId="100" fillId="36" borderId="0" xfId="0" applyFont="1" applyFill="1" applyAlignment="1" applyProtection="1">
      <alignment/>
      <protection/>
    </xf>
    <xf numFmtId="0" fontId="101" fillId="36" borderId="0" xfId="0" applyFont="1" applyFill="1" applyAlignment="1" applyProtection="1">
      <alignment/>
      <protection/>
    </xf>
    <xf numFmtId="0" fontId="4" fillId="36" borderId="0" xfId="0" applyFont="1" applyFill="1" applyAlignment="1" applyProtection="1">
      <alignment/>
      <protection locked="0"/>
    </xf>
    <xf numFmtId="0" fontId="0" fillId="36" borderId="0" xfId="0" applyFill="1" applyAlignment="1" applyProtection="1">
      <alignment/>
      <protection/>
    </xf>
    <xf numFmtId="0" fontId="0" fillId="36" borderId="0" xfId="0" applyFill="1" applyAlignment="1" applyProtection="1">
      <alignment/>
      <protection locked="0"/>
    </xf>
    <xf numFmtId="0" fontId="4" fillId="36" borderId="0" xfId="0" applyFont="1" applyFill="1" applyAlignment="1" applyProtection="1">
      <alignment vertical="top"/>
      <protection/>
    </xf>
    <xf numFmtId="0" fontId="101" fillId="0" borderId="0" xfId="0" applyFont="1" applyAlignment="1" applyProtection="1">
      <alignment/>
      <protection locked="0"/>
    </xf>
    <xf numFmtId="1" fontId="26" fillId="0" borderId="10" xfId="0" applyNumberFormat="1" applyFont="1" applyBorder="1" applyAlignment="1" applyProtection="1">
      <alignment/>
      <protection locked="0"/>
    </xf>
    <xf numFmtId="0" fontId="102" fillId="36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4" fillId="36" borderId="16" xfId="0" applyFont="1" applyFill="1" applyBorder="1" applyAlignment="1" applyProtection="1">
      <alignment/>
      <protection locked="0"/>
    </xf>
    <xf numFmtId="0" fontId="22" fillId="33" borderId="0" xfId="0" applyFont="1" applyFill="1" applyAlignment="1" applyProtection="1">
      <alignment/>
      <protection locked="0"/>
    </xf>
    <xf numFmtId="0" fontId="22" fillId="34" borderId="0" xfId="0" applyFont="1" applyFill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10" fillId="36" borderId="0" xfId="0" applyFont="1" applyFill="1" applyAlignment="1" applyProtection="1">
      <alignment vertical="center"/>
      <protection locked="0"/>
    </xf>
    <xf numFmtId="0" fontId="33" fillId="36" borderId="0" xfId="0" applyFont="1" applyFill="1" applyAlignment="1" applyProtection="1">
      <alignment horizontal="right"/>
      <protection locked="0"/>
    </xf>
    <xf numFmtId="0" fontId="10" fillId="36" borderId="0" xfId="0" applyFont="1" applyFill="1" applyAlignment="1" applyProtection="1">
      <alignment/>
      <protection locked="0"/>
    </xf>
    <xf numFmtId="0" fontId="7" fillId="36" borderId="0" xfId="0" applyFont="1" applyFill="1" applyAlignment="1" applyProtection="1">
      <alignment/>
      <protection/>
    </xf>
    <xf numFmtId="0" fontId="11" fillId="36" borderId="0" xfId="0" applyFont="1" applyFill="1" applyBorder="1" applyAlignment="1" applyProtection="1">
      <alignment/>
      <protection/>
    </xf>
    <xf numFmtId="49" fontId="10" fillId="0" borderId="20" xfId="0" applyNumberFormat="1" applyFont="1" applyBorder="1" applyAlignment="1" applyProtection="1">
      <alignment horizontal="center"/>
      <protection locked="0"/>
    </xf>
    <xf numFmtId="0" fontId="4" fillId="36" borderId="0" xfId="0" applyFont="1" applyFill="1" applyAlignment="1" applyProtection="1">
      <alignment/>
      <protection/>
    </xf>
    <xf numFmtId="0" fontId="4" fillId="36" borderId="0" xfId="0" applyFont="1" applyFill="1" applyBorder="1" applyAlignment="1" applyProtection="1">
      <alignment horizontal="center"/>
      <protection/>
    </xf>
    <xf numFmtId="0" fontId="93" fillId="38" borderId="19" xfId="0" applyFont="1" applyFill="1" applyBorder="1" applyAlignment="1">
      <alignment vertical="center"/>
    </xf>
    <xf numFmtId="0" fontId="22" fillId="36" borderId="0" xfId="0" applyFont="1" applyFill="1" applyAlignment="1" applyProtection="1">
      <alignment horizontal="center"/>
      <protection locked="0"/>
    </xf>
    <xf numFmtId="9" fontId="87" fillId="36" borderId="25" xfId="0" applyNumberFormat="1" applyFont="1" applyFill="1" applyBorder="1" applyAlignment="1" applyProtection="1">
      <alignment horizontal="center"/>
      <protection/>
    </xf>
    <xf numFmtId="0" fontId="10" fillId="36" borderId="0" xfId="0" applyFont="1" applyFill="1" applyBorder="1" applyAlignment="1" applyProtection="1">
      <alignment vertical="center"/>
      <protection locked="0"/>
    </xf>
    <xf numFmtId="0" fontId="4" fillId="36" borderId="0" xfId="0" applyFont="1" applyFill="1" applyBorder="1" applyAlignment="1" applyProtection="1">
      <alignment/>
      <protection locked="0"/>
    </xf>
    <xf numFmtId="0" fontId="11" fillId="36" borderId="13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 locked="0"/>
    </xf>
    <xf numFmtId="0" fontId="4" fillId="36" borderId="17" xfId="0" applyFont="1" applyFill="1" applyBorder="1" applyAlignment="1" applyProtection="1">
      <alignment/>
      <protection locked="0"/>
    </xf>
    <xf numFmtId="0" fontId="10" fillId="36" borderId="13" xfId="0" applyFont="1" applyFill="1" applyBorder="1" applyAlignment="1" applyProtection="1">
      <alignment/>
      <protection locked="0"/>
    </xf>
    <xf numFmtId="0" fontId="22" fillId="36" borderId="13" xfId="0" applyFont="1" applyFill="1" applyBorder="1" applyAlignment="1" applyProtection="1">
      <alignment/>
      <protection locked="0"/>
    </xf>
    <xf numFmtId="2" fontId="11" fillId="36" borderId="0" xfId="0" applyNumberFormat="1" applyFont="1" applyFill="1" applyAlignment="1" applyProtection="1">
      <alignment vertical="center"/>
      <protection/>
    </xf>
    <xf numFmtId="0" fontId="4" fillId="36" borderId="13" xfId="0" applyFont="1" applyFill="1" applyBorder="1" applyAlignment="1" applyProtection="1">
      <alignment/>
      <protection/>
    </xf>
    <xf numFmtId="4" fontId="4" fillId="0" borderId="13" xfId="0" applyNumberFormat="1" applyFont="1" applyFill="1" applyBorder="1" applyAlignment="1" applyProtection="1">
      <alignment/>
      <protection/>
    </xf>
    <xf numFmtId="3" fontId="0" fillId="39" borderId="17" xfId="0" applyNumberFormat="1" applyFont="1" applyFill="1" applyBorder="1" applyAlignment="1" applyProtection="1">
      <alignment/>
      <protection locked="0"/>
    </xf>
    <xf numFmtId="4" fontId="0" fillId="39" borderId="17" xfId="0" applyNumberFormat="1" applyFont="1" applyFill="1" applyBorder="1" applyAlignment="1" applyProtection="1">
      <alignment/>
      <protection/>
    </xf>
    <xf numFmtId="4" fontId="4" fillId="36" borderId="0" xfId="0" applyNumberFormat="1" applyFont="1" applyFill="1" applyAlignment="1" applyProtection="1">
      <alignment/>
      <protection/>
    </xf>
    <xf numFmtId="0" fontId="13" fillId="36" borderId="0" xfId="0" applyFont="1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10" fillId="36" borderId="0" xfId="0" applyFont="1" applyFill="1" applyAlignment="1" applyProtection="1">
      <alignment/>
      <protection/>
    </xf>
    <xf numFmtId="0" fontId="4" fillId="36" borderId="0" xfId="0" applyFont="1" applyFill="1" applyAlignment="1" applyProtection="1">
      <alignment horizontal="center"/>
      <protection locked="0"/>
    </xf>
    <xf numFmtId="0" fontId="4" fillId="36" borderId="0" xfId="0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4" fillId="36" borderId="21" xfId="0" applyFont="1" applyFill="1" applyBorder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4" fillId="36" borderId="0" xfId="0" applyFont="1" applyFill="1" applyBorder="1" applyAlignment="1" applyProtection="1">
      <alignment horizontal="center"/>
      <protection/>
    </xf>
    <xf numFmtId="0" fontId="13" fillId="36" borderId="0" xfId="0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10" fillId="36" borderId="13" xfId="0" applyFont="1" applyFill="1" applyBorder="1" applyAlignment="1" applyProtection="1">
      <alignment/>
      <protection/>
    </xf>
    <xf numFmtId="0" fontId="101" fillId="34" borderId="0" xfId="0" applyFont="1" applyFill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10" fillId="36" borderId="0" xfId="0" applyFont="1" applyFill="1" applyAlignment="1" applyProtection="1">
      <alignment horizontal="right"/>
      <protection locked="0"/>
    </xf>
    <xf numFmtId="4" fontId="10" fillId="0" borderId="0" xfId="0" applyNumberFormat="1" applyFont="1" applyFill="1" applyAlignment="1" applyProtection="1">
      <alignment/>
      <protection/>
    </xf>
    <xf numFmtId="0" fontId="33" fillId="36" borderId="0" xfId="0" applyFont="1" applyFill="1" applyAlignment="1" applyProtection="1">
      <alignment horizontal="center"/>
      <protection locked="0"/>
    </xf>
    <xf numFmtId="0" fontId="4" fillId="36" borderId="13" xfId="0" applyFont="1" applyFill="1" applyBorder="1" applyAlignment="1" applyProtection="1">
      <alignment horizontal="center"/>
      <protection/>
    </xf>
    <xf numFmtId="4" fontId="4" fillId="36" borderId="13" xfId="0" applyNumberFormat="1" applyFont="1" applyFill="1" applyBorder="1" applyAlignment="1" applyProtection="1">
      <alignment/>
      <protection/>
    </xf>
    <xf numFmtId="0" fontId="4" fillId="36" borderId="0" xfId="0" applyFont="1" applyFill="1" applyBorder="1" applyAlignment="1" applyProtection="1">
      <alignment/>
      <protection/>
    </xf>
    <xf numFmtId="0" fontId="4" fillId="36" borderId="16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14" fontId="0" fillId="36" borderId="0" xfId="0" applyNumberFormat="1" applyFill="1" applyAlignment="1" applyProtection="1">
      <alignment/>
      <protection/>
    </xf>
    <xf numFmtId="4" fontId="0" fillId="36" borderId="0" xfId="0" applyNumberFormat="1" applyFill="1" applyAlignment="1" applyProtection="1">
      <alignment/>
      <protection/>
    </xf>
    <xf numFmtId="4" fontId="11" fillId="36" borderId="0" xfId="0" applyNumberFormat="1" applyFont="1" applyFill="1" applyAlignment="1" applyProtection="1">
      <alignment/>
      <protection/>
    </xf>
    <xf numFmtId="4" fontId="0" fillId="36" borderId="0" xfId="0" applyNumberFormat="1" applyFill="1" applyBorder="1" applyAlignment="1" applyProtection="1">
      <alignment/>
      <protection/>
    </xf>
    <xf numFmtId="0" fontId="8" fillId="36" borderId="16" xfId="0" applyFont="1" applyFill="1" applyBorder="1" applyAlignment="1" applyProtection="1">
      <alignment/>
      <protection/>
    </xf>
    <xf numFmtId="0" fontId="4" fillId="36" borderId="16" xfId="0" applyFont="1" applyFill="1" applyBorder="1" applyAlignment="1" applyProtection="1">
      <alignment/>
      <protection/>
    </xf>
    <xf numFmtId="4" fontId="0" fillId="36" borderId="16" xfId="0" applyNumberFormat="1" applyFill="1" applyBorder="1" applyAlignment="1" applyProtection="1">
      <alignment/>
      <protection/>
    </xf>
    <xf numFmtId="0" fontId="10" fillId="36" borderId="26" xfId="0" applyFont="1" applyFill="1" applyBorder="1" applyAlignment="1" applyProtection="1">
      <alignment/>
      <protection/>
    </xf>
    <xf numFmtId="9" fontId="0" fillId="36" borderId="0" xfId="0" applyNumberFormat="1" applyFont="1" applyFill="1" applyAlignment="1" applyProtection="1">
      <alignment horizontal="center"/>
      <protection/>
    </xf>
    <xf numFmtId="4" fontId="0" fillId="36" borderId="0" xfId="0" applyNumberFormat="1" applyFont="1" applyFill="1" applyAlignment="1" applyProtection="1">
      <alignment/>
      <protection/>
    </xf>
    <xf numFmtId="168" fontId="4" fillId="36" borderId="10" xfId="0" applyNumberFormat="1" applyFont="1" applyFill="1" applyBorder="1" applyAlignment="1" applyProtection="1">
      <alignment/>
      <protection/>
    </xf>
    <xf numFmtId="9" fontId="87" fillId="36" borderId="14" xfId="0" applyNumberFormat="1" applyFont="1" applyFill="1" applyBorder="1" applyAlignment="1" applyProtection="1">
      <alignment horizontal="center"/>
      <protection locked="0"/>
    </xf>
    <xf numFmtId="0" fontId="87" fillId="36" borderId="0" xfId="0" applyFont="1" applyFill="1" applyAlignment="1" applyProtection="1">
      <alignment/>
      <protection/>
    </xf>
    <xf numFmtId="0" fontId="8" fillId="36" borderId="21" xfId="0" applyFont="1" applyFill="1" applyBorder="1" applyAlignment="1" applyProtection="1">
      <alignment/>
      <protection/>
    </xf>
    <xf numFmtId="168" fontId="10" fillId="36" borderId="10" xfId="0" applyNumberFormat="1" applyFont="1" applyFill="1" applyBorder="1" applyAlignment="1" applyProtection="1">
      <alignment/>
      <protection/>
    </xf>
    <xf numFmtId="168" fontId="10" fillId="0" borderId="27" xfId="0" applyNumberFormat="1" applyFont="1" applyFill="1" applyBorder="1" applyAlignment="1" applyProtection="1">
      <alignment/>
      <protection/>
    </xf>
    <xf numFmtId="9" fontId="103" fillId="0" borderId="14" xfId="0" applyNumberFormat="1" applyFont="1" applyFill="1" applyBorder="1" applyAlignment="1" applyProtection="1">
      <alignment horizontal="center"/>
      <protection/>
    </xf>
    <xf numFmtId="9" fontId="103" fillId="0" borderId="14" xfId="0" applyNumberFormat="1" applyFont="1" applyFill="1" applyBorder="1" applyAlignment="1" applyProtection="1">
      <alignment horizontal="center"/>
      <protection locked="0"/>
    </xf>
    <xf numFmtId="14" fontId="10" fillId="0" borderId="10" xfId="0" applyNumberFormat="1" applyFont="1" applyBorder="1" applyAlignment="1" applyProtection="1">
      <alignment horizontal="left"/>
      <protection locked="0"/>
    </xf>
    <xf numFmtId="0" fontId="22" fillId="36" borderId="0" xfId="0" applyFont="1" applyFill="1" applyAlignment="1" applyProtection="1">
      <alignment horizontal="left"/>
      <protection/>
    </xf>
    <xf numFmtId="14" fontId="4" fillId="36" borderId="18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left"/>
      <protection locked="0"/>
    </xf>
    <xf numFmtId="1" fontId="4" fillId="36" borderId="13" xfId="0" applyNumberFormat="1" applyFont="1" applyFill="1" applyBorder="1" applyAlignment="1" applyProtection="1">
      <alignment/>
      <protection/>
    </xf>
    <xf numFmtId="1" fontId="10" fillId="36" borderId="0" xfId="0" applyNumberFormat="1" applyFont="1" applyFill="1" applyAlignment="1" applyProtection="1">
      <alignment horizontal="center"/>
      <protection/>
    </xf>
    <xf numFmtId="0" fontId="4" fillId="36" borderId="0" xfId="0" applyFont="1" applyFill="1" applyAlignment="1" applyProtection="1">
      <alignment vertical="center"/>
      <protection locked="0"/>
    </xf>
    <xf numFmtId="1" fontId="26" fillId="0" borderId="10" xfId="0" applyNumberFormat="1" applyFont="1" applyBorder="1" applyAlignment="1" applyProtection="1" quotePrefix="1">
      <alignment horizontal="left"/>
      <protection locked="0"/>
    </xf>
    <xf numFmtId="9" fontId="87" fillId="36" borderId="25" xfId="0" applyNumberFormat="1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 locked="0"/>
    </xf>
    <xf numFmtId="9" fontId="87" fillId="36" borderId="17" xfId="0" applyNumberFormat="1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vertical="center"/>
      <protection locked="0"/>
    </xf>
    <xf numFmtId="0" fontId="4" fillId="36" borderId="17" xfId="0" applyFont="1" applyFill="1" applyBorder="1" applyAlignment="1" applyProtection="1">
      <alignment horizontal="center" vertical="center"/>
      <protection locked="0"/>
    </xf>
    <xf numFmtId="4" fontId="0" fillId="39" borderId="29" xfId="0" applyNumberFormat="1" applyFont="1" applyFill="1" applyBorder="1" applyAlignment="1" applyProtection="1">
      <alignment vertical="center"/>
      <protection locked="0"/>
    </xf>
    <xf numFmtId="0" fontId="4" fillId="36" borderId="13" xfId="0" applyFont="1" applyFill="1" applyBorder="1" applyAlignment="1" applyProtection="1">
      <alignment vertical="center"/>
      <protection locked="0"/>
    </xf>
    <xf numFmtId="0" fontId="0" fillId="0" borderId="21" xfId="0" applyBorder="1" applyAlignment="1" applyProtection="1">
      <alignment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2" fontId="0" fillId="0" borderId="20" xfId="0" applyNumberFormat="1" applyBorder="1" applyAlignment="1" applyProtection="1">
      <alignment horizontal="right"/>
      <protection locked="0"/>
    </xf>
    <xf numFmtId="2" fontId="0" fillId="0" borderId="12" xfId="0" applyNumberFormat="1" applyBorder="1" applyAlignment="1" applyProtection="1">
      <alignment horizontal="right"/>
      <protection locked="0"/>
    </xf>
    <xf numFmtId="2" fontId="0" fillId="0" borderId="21" xfId="0" applyNumberFormat="1" applyBorder="1" applyAlignment="1" applyProtection="1">
      <alignment horizontal="right"/>
      <protection locked="0"/>
    </xf>
    <xf numFmtId="2" fontId="0" fillId="0" borderId="16" xfId="0" applyNumberFormat="1" applyBorder="1" applyAlignment="1" applyProtection="1">
      <alignment horizontal="right"/>
      <protection locked="0"/>
    </xf>
    <xf numFmtId="2" fontId="0" fillId="0" borderId="30" xfId="0" applyNumberFormat="1" applyBorder="1" applyAlignment="1" applyProtection="1">
      <alignment horizontal="right"/>
      <protection locked="0"/>
    </xf>
    <xf numFmtId="0" fontId="11" fillId="0" borderId="13" xfId="0" applyFont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horizontal="right"/>
      <protection locked="0"/>
    </xf>
    <xf numFmtId="2" fontId="0" fillId="0" borderId="17" xfId="0" applyNumberFormat="1" applyBorder="1" applyAlignment="1" applyProtection="1">
      <alignment horizontal="right"/>
      <protection locked="0"/>
    </xf>
    <xf numFmtId="0" fontId="0" fillId="0" borderId="31" xfId="0" applyBorder="1" applyAlignment="1" applyProtection="1">
      <alignment/>
      <protection locked="0"/>
    </xf>
    <xf numFmtId="0" fontId="11" fillId="0" borderId="32" xfId="0" applyFont="1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/>
      <protection locked="0"/>
    </xf>
    <xf numFmtId="2" fontId="0" fillId="0" borderId="22" xfId="0" applyNumberFormat="1" applyBorder="1" applyAlignment="1" applyProtection="1">
      <alignment horizontal="right"/>
      <protection locked="0"/>
    </xf>
    <xf numFmtId="4" fontId="17" fillId="36" borderId="0" xfId="0" applyNumberFormat="1" applyFont="1" applyFill="1" applyAlignment="1" applyProtection="1">
      <alignment/>
      <protection/>
    </xf>
    <xf numFmtId="4" fontId="11" fillId="19" borderId="0" xfId="0" applyNumberFormat="1" applyFont="1" applyFill="1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168" fontId="0" fillId="0" borderId="0" xfId="0" applyNumberFormat="1" applyFont="1" applyAlignment="1" applyProtection="1">
      <alignment/>
      <protection locked="0"/>
    </xf>
    <xf numFmtId="14" fontId="4" fillId="36" borderId="0" xfId="0" applyNumberFormat="1" applyFont="1" applyFill="1" applyAlignment="1" applyProtection="1">
      <alignment/>
      <protection locked="0"/>
    </xf>
    <xf numFmtId="0" fontId="4" fillId="36" borderId="0" xfId="0" applyFont="1" applyFill="1" applyAlignment="1" applyProtection="1">
      <alignment/>
      <protection/>
    </xf>
    <xf numFmtId="0" fontId="3" fillId="36" borderId="0" xfId="0" applyFont="1" applyFill="1" applyAlignment="1" applyProtection="1">
      <alignment vertical="top"/>
      <protection/>
    </xf>
    <xf numFmtId="0" fontId="0" fillId="36" borderId="0" xfId="0" applyFill="1" applyAlignment="1" applyProtection="1">
      <alignment vertical="top"/>
      <protection/>
    </xf>
    <xf numFmtId="0" fontId="89" fillId="36" borderId="19" xfId="0" applyFont="1" applyFill="1" applyBorder="1" applyAlignment="1" applyProtection="1">
      <alignment horizontal="center" vertical="center"/>
      <protection locked="0"/>
    </xf>
    <xf numFmtId="0" fontId="89" fillId="36" borderId="2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7" fillId="36" borderId="0" xfId="0" applyFont="1" applyFill="1" applyAlignment="1" applyProtection="1">
      <alignment/>
      <protection/>
    </xf>
    <xf numFmtId="0" fontId="4" fillId="36" borderId="0" xfId="0" applyFont="1" applyFill="1" applyAlignment="1" applyProtection="1">
      <alignment/>
      <protection locked="0"/>
    </xf>
    <xf numFmtId="0" fontId="4" fillId="36" borderId="21" xfId="0" applyFont="1" applyFill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4" fillId="36" borderId="21" xfId="0" applyFont="1" applyFill="1" applyBorder="1" applyAlignment="1" applyProtection="1">
      <alignment/>
      <protection locked="0"/>
    </xf>
    <xf numFmtId="0" fontId="101" fillId="40" borderId="0" xfId="0" applyFont="1" applyFill="1" applyAlignment="1" applyProtection="1">
      <alignment horizontal="center" vertical="center" wrapText="1"/>
      <protection locked="0"/>
    </xf>
    <xf numFmtId="14" fontId="10" fillId="0" borderId="10" xfId="0" applyNumberFormat="1" applyFont="1" applyBorder="1" applyAlignment="1" applyProtection="1">
      <alignment horizontal="left"/>
      <protection locked="0"/>
    </xf>
    <xf numFmtId="14" fontId="10" fillId="0" borderId="16" xfId="0" applyNumberFormat="1" applyFont="1" applyBorder="1" applyAlignment="1" applyProtection="1">
      <alignment horizontal="left"/>
      <protection locked="0"/>
    </xf>
    <xf numFmtId="0" fontId="11" fillId="36" borderId="0" xfId="0" applyFont="1" applyFill="1" applyAlignment="1" applyProtection="1">
      <alignment horizontal="center"/>
      <protection/>
    </xf>
    <xf numFmtId="0" fontId="13" fillId="36" borderId="0" xfId="0" applyFont="1" applyFill="1" applyAlignment="1" applyProtection="1">
      <alignment/>
      <protection/>
    </xf>
    <xf numFmtId="0" fontId="0" fillId="37" borderId="0" xfId="0" applyFill="1" applyAlignment="1" applyProtection="1">
      <alignment/>
      <protection locked="0"/>
    </xf>
    <xf numFmtId="0" fontId="0" fillId="35" borderId="0" xfId="0" applyFill="1" applyAlignment="1">
      <alignment/>
    </xf>
    <xf numFmtId="0" fontId="18" fillId="0" borderId="0" xfId="0" applyFont="1" applyFill="1" applyAlignment="1" applyProtection="1">
      <alignment horizontal="left"/>
      <protection/>
    </xf>
    <xf numFmtId="0" fontId="19" fillId="0" borderId="0" xfId="0" applyFont="1" applyAlignment="1">
      <alignment horizontal="left"/>
    </xf>
    <xf numFmtId="0" fontId="20" fillId="0" borderId="0" xfId="0" applyFont="1" applyFill="1" applyAlignment="1" applyProtection="1">
      <alignment vertical="center"/>
      <protection/>
    </xf>
    <xf numFmtId="0" fontId="19" fillId="0" borderId="0" xfId="0" applyFont="1" applyAlignment="1">
      <alignment vertical="center"/>
    </xf>
    <xf numFmtId="0" fontId="0" fillId="0" borderId="0" xfId="0" applyFill="1" applyAlignment="1" applyProtection="1">
      <alignment/>
      <protection locked="0"/>
    </xf>
    <xf numFmtId="0" fontId="10" fillId="36" borderId="0" xfId="0" applyFont="1" applyFill="1" applyAlignment="1" applyProtection="1">
      <alignment/>
      <protection/>
    </xf>
    <xf numFmtId="0" fontId="11" fillId="36" borderId="0" xfId="0" applyFont="1" applyFill="1" applyAlignment="1" applyProtection="1">
      <alignment/>
      <protection/>
    </xf>
    <xf numFmtId="0" fontId="2" fillId="36" borderId="0" xfId="52" applyFill="1" applyAlignment="1" applyProtection="1">
      <alignment/>
      <protection/>
    </xf>
    <xf numFmtId="0" fontId="0" fillId="36" borderId="0" xfId="0" applyFill="1" applyAlignment="1">
      <alignment/>
    </xf>
    <xf numFmtId="178" fontId="10" fillId="0" borderId="10" xfId="0" applyNumberFormat="1" applyFont="1" applyBorder="1" applyAlignment="1" applyProtection="1">
      <alignment horizontal="left"/>
      <protection locked="0"/>
    </xf>
    <xf numFmtId="178" fontId="10" fillId="0" borderId="16" xfId="0" applyNumberFormat="1" applyFont="1" applyBorder="1" applyAlignment="1" applyProtection="1">
      <alignment horizontal="left"/>
      <protection locked="0"/>
    </xf>
    <xf numFmtId="0" fontId="4" fillId="36" borderId="21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 horizontal="left"/>
      <protection locked="0"/>
    </xf>
    <xf numFmtId="0" fontId="4" fillId="36" borderId="0" xfId="0" applyFont="1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4" fillId="36" borderId="13" xfId="0" applyFont="1" applyFill="1" applyBorder="1" applyAlignment="1" applyProtection="1">
      <alignment/>
      <protection/>
    </xf>
    <xf numFmtId="14" fontId="10" fillId="0" borderId="10" xfId="0" applyNumberFormat="1" applyFont="1" applyBorder="1" applyAlignment="1" applyProtection="1">
      <alignment/>
      <protection locked="0"/>
    </xf>
    <xf numFmtId="14" fontId="10" fillId="0" borderId="16" xfId="0" applyNumberFormat="1" applyFont="1" applyBorder="1" applyAlignment="1" applyProtection="1">
      <alignment/>
      <protection locked="0"/>
    </xf>
    <xf numFmtId="49" fontId="10" fillId="0" borderId="10" xfId="0" applyNumberFormat="1" applyFont="1" applyBorder="1" applyAlignment="1" applyProtection="1">
      <alignment horizontal="center"/>
      <protection locked="0"/>
    </xf>
    <xf numFmtId="49" fontId="10" fillId="0" borderId="16" xfId="0" applyNumberFormat="1" applyFont="1" applyBorder="1" applyAlignment="1" applyProtection="1">
      <alignment horizontal="center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49" fontId="10" fillId="0" borderId="16" xfId="0" applyNumberFormat="1" applyFont="1" applyBorder="1" applyAlignment="1" applyProtection="1">
      <alignment/>
      <protection locked="0"/>
    </xf>
    <xf numFmtId="0" fontId="7" fillId="36" borderId="0" xfId="0" applyFont="1" applyFill="1" applyAlignment="1" applyProtection="1">
      <alignment/>
      <protection locked="0"/>
    </xf>
    <xf numFmtId="1" fontId="22" fillId="0" borderId="10" xfId="0" applyNumberFormat="1" applyFont="1" applyBorder="1" applyAlignment="1" applyProtection="1">
      <alignment horizontal="center"/>
      <protection locked="0"/>
    </xf>
    <xf numFmtId="1" fontId="22" fillId="0" borderId="16" xfId="0" applyNumberFormat="1" applyFont="1" applyBorder="1" applyAlignment="1" applyProtection="1">
      <alignment horizontal="center"/>
      <protection locked="0"/>
    </xf>
    <xf numFmtId="0" fontId="4" fillId="36" borderId="0" xfId="0" applyFont="1" applyFill="1" applyAlignment="1" applyProtection="1">
      <alignment horizontal="center"/>
      <protection locked="0"/>
    </xf>
    <xf numFmtId="0" fontId="25" fillId="36" borderId="0" xfId="0" applyFont="1" applyFill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/>
      <protection locked="0"/>
    </xf>
    <xf numFmtId="3" fontId="0" fillId="0" borderId="16" xfId="0" applyNumberFormat="1" applyFont="1" applyBorder="1" applyAlignment="1" applyProtection="1">
      <alignment horizontal="center"/>
      <protection locked="0"/>
    </xf>
    <xf numFmtId="0" fontId="11" fillId="36" borderId="0" xfId="0" applyFont="1" applyFill="1" applyBorder="1" applyAlignment="1" applyProtection="1">
      <alignment horizontal="right"/>
      <protection/>
    </xf>
    <xf numFmtId="0" fontId="101" fillId="9" borderId="0" xfId="0" applyFont="1" applyFill="1" applyAlignment="1" applyProtection="1">
      <alignment horizontal="center" vertical="center" wrapText="1"/>
      <protection locked="0"/>
    </xf>
    <xf numFmtId="0" fontId="103" fillId="0" borderId="10" xfId="0" applyFont="1" applyFill="1" applyBorder="1" applyAlignment="1" applyProtection="1">
      <alignment/>
      <protection/>
    </xf>
    <xf numFmtId="0" fontId="91" fillId="0" borderId="16" xfId="0" applyFont="1" applyFill="1" applyBorder="1" applyAlignment="1">
      <alignment/>
    </xf>
    <xf numFmtId="0" fontId="10" fillId="36" borderId="0" xfId="0" applyFont="1" applyFill="1" applyBorder="1" applyAlignment="1" applyProtection="1">
      <alignment horizontal="left"/>
      <protection/>
    </xf>
    <xf numFmtId="0" fontId="10" fillId="36" borderId="0" xfId="0" applyFont="1" applyFill="1" applyAlignment="1" applyProtection="1">
      <alignment horizontal="right"/>
      <protection/>
    </xf>
    <xf numFmtId="0" fontId="11" fillId="36" borderId="0" xfId="0" applyFont="1" applyFill="1" applyAlignment="1" applyProtection="1">
      <alignment horizontal="right"/>
      <protection/>
    </xf>
    <xf numFmtId="0" fontId="11" fillId="36" borderId="13" xfId="0" applyFont="1" applyFill="1" applyBorder="1" applyAlignment="1" applyProtection="1">
      <alignment horizontal="right"/>
      <protection/>
    </xf>
    <xf numFmtId="0" fontId="4" fillId="36" borderId="16" xfId="0" applyFont="1" applyFill="1" applyBorder="1" applyAlignment="1" applyProtection="1">
      <alignment horizontal="left" vertical="center"/>
      <protection locked="0"/>
    </xf>
    <xf numFmtId="0" fontId="4" fillId="36" borderId="0" xfId="0" applyFont="1" applyFill="1" applyAlignment="1" applyProtection="1">
      <alignment vertical="center"/>
      <protection locked="0"/>
    </xf>
    <xf numFmtId="0" fontId="3" fillId="36" borderId="0" xfId="0" applyFont="1" applyFill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/>
      <protection locked="0"/>
    </xf>
    <xf numFmtId="0" fontId="97" fillId="36" borderId="0" xfId="0" applyFont="1" applyFill="1" applyAlignment="1" applyProtection="1">
      <alignment horizontal="center"/>
      <protection locked="0"/>
    </xf>
    <xf numFmtId="0" fontId="10" fillId="36" borderId="13" xfId="0" applyFont="1" applyFill="1" applyBorder="1" applyAlignment="1" applyProtection="1">
      <alignment horizontal="right"/>
      <protection/>
    </xf>
    <xf numFmtId="0" fontId="103" fillId="36" borderId="0" xfId="0" applyFont="1" applyFill="1" applyAlignment="1" applyProtection="1">
      <alignment horizontal="left"/>
      <protection/>
    </xf>
    <xf numFmtId="0" fontId="91" fillId="36" borderId="0" xfId="0" applyFont="1" applyFill="1" applyAlignment="1">
      <alignment horizontal="left"/>
    </xf>
    <xf numFmtId="0" fontId="10" fillId="36" borderId="0" xfId="0" applyFont="1" applyFill="1" applyAlignment="1" applyProtection="1">
      <alignment horizontal="left"/>
      <protection/>
    </xf>
    <xf numFmtId="0" fontId="11" fillId="36" borderId="0" xfId="0" applyFont="1" applyFill="1" applyAlignment="1" applyProtection="1">
      <alignment horizontal="left"/>
      <protection/>
    </xf>
    <xf numFmtId="0" fontId="11" fillId="36" borderId="0" xfId="0" applyFont="1" applyFill="1" applyBorder="1" applyAlignment="1" applyProtection="1">
      <alignment horizontal="left"/>
      <protection/>
    </xf>
    <xf numFmtId="0" fontId="3" fillId="36" borderId="0" xfId="0" applyFont="1" applyFill="1" applyAlignment="1" applyProtection="1">
      <alignment/>
      <protection/>
    </xf>
    <xf numFmtId="0" fontId="4" fillId="0" borderId="16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3" fillId="36" borderId="35" xfId="0" applyFont="1" applyFill="1" applyBorder="1" applyAlignment="1" applyProtection="1">
      <alignment/>
      <protection/>
    </xf>
    <xf numFmtId="0" fontId="3" fillId="36" borderId="23" xfId="0" applyFont="1" applyFill="1" applyBorder="1" applyAlignment="1" applyProtection="1">
      <alignment/>
      <protection/>
    </xf>
    <xf numFmtId="0" fontId="105" fillId="36" borderId="0" xfId="0" applyFont="1" applyFill="1" applyAlignment="1" applyProtection="1">
      <alignment horizontal="center" vertical="center"/>
      <protection locked="0"/>
    </xf>
    <xf numFmtId="0" fontId="10" fillId="39" borderId="36" xfId="0" applyFont="1" applyFill="1" applyBorder="1" applyAlignment="1" applyProtection="1">
      <alignment vertical="center"/>
      <protection/>
    </xf>
    <xf numFmtId="0" fontId="10" fillId="39" borderId="28" xfId="0" applyFont="1" applyFill="1" applyBorder="1" applyAlignment="1" applyProtection="1">
      <alignment vertical="center"/>
      <protection/>
    </xf>
    <xf numFmtId="2" fontId="11" fillId="36" borderId="0" xfId="0" applyNumberFormat="1" applyFont="1" applyFill="1" applyAlignment="1" applyProtection="1">
      <alignment horizontal="center" vertical="center"/>
      <protection/>
    </xf>
    <xf numFmtId="49" fontId="24" fillId="8" borderId="37" xfId="0" applyNumberFormat="1" applyFont="1" applyFill="1" applyBorder="1" applyAlignment="1" applyProtection="1">
      <alignment horizontal="center" vertical="center"/>
      <protection locked="0"/>
    </xf>
    <xf numFmtId="49" fontId="24" fillId="8" borderId="38" xfId="0" applyNumberFormat="1" applyFont="1" applyFill="1" applyBorder="1" applyAlignment="1" applyProtection="1">
      <alignment horizontal="center" vertical="center"/>
      <protection locked="0"/>
    </xf>
    <xf numFmtId="0" fontId="22" fillId="36" borderId="0" xfId="0" applyFont="1" applyFill="1" applyAlignment="1" applyProtection="1">
      <alignment horizontal="center"/>
      <protection locked="0"/>
    </xf>
    <xf numFmtId="0" fontId="4" fillId="0" borderId="15" xfId="0" applyFont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4" fillId="0" borderId="20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3" fontId="106" fillId="39" borderId="24" xfId="0" applyNumberFormat="1" applyFont="1" applyFill="1" applyBorder="1" applyAlignment="1" applyProtection="1">
      <alignment horizontal="center"/>
      <protection locked="0"/>
    </xf>
    <xf numFmtId="3" fontId="106" fillId="39" borderId="39" xfId="0" applyNumberFormat="1" applyFont="1" applyFill="1" applyBorder="1" applyAlignment="1" applyProtection="1">
      <alignment horizontal="center"/>
      <protection locked="0"/>
    </xf>
    <xf numFmtId="14" fontId="10" fillId="36" borderId="0" xfId="0" applyNumberFormat="1" applyFont="1" applyFill="1" applyBorder="1" applyAlignment="1" applyProtection="1">
      <alignment horizontal="center"/>
      <protection/>
    </xf>
    <xf numFmtId="0" fontId="0" fillId="2" borderId="40" xfId="0" applyFont="1" applyFill="1" applyBorder="1" applyAlignment="1" applyProtection="1">
      <alignment horizontal="center"/>
      <protection locked="0"/>
    </xf>
    <xf numFmtId="0" fontId="0" fillId="2" borderId="28" xfId="0" applyFont="1" applyFill="1" applyBorder="1" applyAlignment="1" applyProtection="1">
      <alignment horizontal="center"/>
      <protection locked="0"/>
    </xf>
    <xf numFmtId="0" fontId="10" fillId="39" borderId="36" xfId="0" applyFont="1" applyFill="1" applyBorder="1" applyAlignment="1" applyProtection="1">
      <alignment vertical="center"/>
      <protection locked="0"/>
    </xf>
    <xf numFmtId="0" fontId="10" fillId="39" borderId="28" xfId="0" applyFont="1" applyFill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/>
      <protection locked="0"/>
    </xf>
    <xf numFmtId="49" fontId="22" fillId="0" borderId="10" xfId="0" applyNumberFormat="1" applyFont="1" applyBorder="1" applyAlignment="1" applyProtection="1">
      <alignment/>
      <protection locked="0"/>
    </xf>
    <xf numFmtId="49" fontId="22" fillId="0" borderId="16" xfId="0" applyNumberFormat="1" applyFont="1" applyBorder="1" applyAlignment="1" applyProtection="1">
      <alignment/>
      <protection locked="0"/>
    </xf>
    <xf numFmtId="0" fontId="25" fillId="0" borderId="10" xfId="0" applyFont="1" applyBorder="1" applyAlignment="1" applyProtection="1">
      <alignment horizontal="left"/>
      <protection locked="0"/>
    </xf>
    <xf numFmtId="0" fontId="25" fillId="0" borderId="16" xfId="0" applyFont="1" applyBorder="1" applyAlignment="1" applyProtection="1">
      <alignment horizontal="left"/>
      <protection locked="0"/>
    </xf>
    <xf numFmtId="0" fontId="0" fillId="2" borderId="36" xfId="0" applyFont="1" applyFill="1" applyBorder="1" applyAlignment="1" applyProtection="1">
      <alignment horizontal="center"/>
      <protection locked="0"/>
    </xf>
    <xf numFmtId="0" fontId="0" fillId="9" borderId="13" xfId="0" applyFont="1" applyFill="1" applyBorder="1" applyAlignment="1" applyProtection="1">
      <alignment/>
      <protection locked="0"/>
    </xf>
    <xf numFmtId="0" fontId="0" fillId="9" borderId="13" xfId="0" applyFill="1" applyBorder="1" applyAlignment="1" applyProtection="1">
      <alignment/>
      <protection locked="0"/>
    </xf>
    <xf numFmtId="2" fontId="96" fillId="0" borderId="16" xfId="0" applyNumberFormat="1" applyFont="1" applyBorder="1" applyAlignment="1" applyProtection="1">
      <alignment horizontal="center"/>
      <protection locked="0"/>
    </xf>
    <xf numFmtId="0" fontId="0" fillId="13" borderId="13" xfId="0" applyFont="1" applyFill="1" applyBorder="1" applyAlignment="1" applyProtection="1">
      <alignment/>
      <protection locked="0"/>
    </xf>
    <xf numFmtId="0" fontId="0" fillId="13" borderId="13" xfId="0" applyFill="1" applyBorder="1" applyAlignment="1" applyProtection="1">
      <alignment/>
      <protection locked="0"/>
    </xf>
    <xf numFmtId="4" fontId="11" fillId="0" borderId="10" xfId="0" applyNumberFormat="1" applyFont="1" applyFill="1" applyBorder="1" applyAlignment="1" applyProtection="1">
      <alignment horizontal="center"/>
      <protection locked="0"/>
    </xf>
    <xf numFmtId="4" fontId="11" fillId="0" borderId="16" xfId="0" applyNumberFormat="1" applyFont="1" applyFill="1" applyBorder="1" applyAlignment="1" applyProtection="1">
      <alignment horizontal="center"/>
      <protection locked="0"/>
    </xf>
    <xf numFmtId="0" fontId="4" fillId="36" borderId="17" xfId="0" applyFont="1" applyFill="1" applyBorder="1" applyAlignment="1" applyProtection="1">
      <alignment horizontal="left" vertical="center"/>
      <protection locked="0"/>
    </xf>
    <xf numFmtId="0" fontId="0" fillId="36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17" fillId="36" borderId="0" xfId="0" applyFont="1" applyFill="1" applyAlignment="1" applyProtection="1">
      <alignment horizontal="left"/>
      <protection locked="0"/>
    </xf>
    <xf numFmtId="0" fontId="17" fillId="36" borderId="0" xfId="0" applyFont="1" applyFill="1" applyAlignment="1" applyProtection="1">
      <alignment/>
      <protection locked="0"/>
    </xf>
    <xf numFmtId="2" fontId="17" fillId="0" borderId="41" xfId="0" applyNumberFormat="1" applyFont="1" applyBorder="1" applyAlignment="1" applyProtection="1">
      <alignment horizontal="center" vertical="center"/>
      <protection locked="0"/>
    </xf>
    <xf numFmtId="2" fontId="17" fillId="0" borderId="42" xfId="0" applyNumberFormat="1" applyFont="1" applyBorder="1" applyAlignment="1" applyProtection="1">
      <alignment horizontal="center" vertical="center"/>
      <protection locked="0"/>
    </xf>
    <xf numFmtId="2" fontId="17" fillId="0" borderId="43" xfId="0" applyNumberFormat="1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/>
      <protection locked="0"/>
    </xf>
    <xf numFmtId="0" fontId="0" fillId="0" borderId="45" xfId="0" applyFont="1" applyBorder="1" applyAlignment="1" applyProtection="1">
      <alignment/>
      <protection locked="0"/>
    </xf>
    <xf numFmtId="0" fontId="107" fillId="0" borderId="40" xfId="0" applyFont="1" applyFill="1" applyBorder="1" applyAlignment="1" applyProtection="1">
      <alignment horizontal="center" vertical="center"/>
      <protection/>
    </xf>
    <xf numFmtId="1" fontId="17" fillId="36" borderId="0" xfId="0" applyNumberFormat="1" applyFont="1" applyFill="1" applyAlignment="1" applyProtection="1">
      <alignment horizontal="left"/>
      <protection locked="0"/>
    </xf>
    <xf numFmtId="0" fontId="93" fillId="38" borderId="19" xfId="0" applyFont="1" applyFill="1" applyBorder="1" applyAlignment="1">
      <alignment vertical="center"/>
    </xf>
    <xf numFmtId="0" fontId="93" fillId="38" borderId="21" xfId="0" applyFont="1" applyFill="1" applyBorder="1" applyAlignment="1">
      <alignment vertical="center"/>
    </xf>
    <xf numFmtId="0" fontId="93" fillId="38" borderId="22" xfId="0" applyFont="1" applyFill="1" applyBorder="1" applyAlignment="1">
      <alignment vertical="center"/>
    </xf>
    <xf numFmtId="0" fontId="4" fillId="36" borderId="0" xfId="0" applyFont="1" applyFill="1" applyBorder="1" applyAlignment="1" applyProtection="1">
      <alignment horizontal="center"/>
      <protection/>
    </xf>
    <xf numFmtId="0" fontId="13" fillId="36" borderId="0" xfId="0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10" fillId="36" borderId="0" xfId="0" applyFont="1" applyFill="1" applyAlignment="1" applyProtection="1">
      <alignment horizontal="left" vertical="top" wrapText="1"/>
      <protection/>
    </xf>
    <xf numFmtId="0" fontId="18" fillId="0" borderId="0" xfId="0" applyFont="1" applyFill="1" applyAlignment="1" applyProtection="1">
      <alignment horizontal="center"/>
      <protection/>
    </xf>
    <xf numFmtId="0" fontId="19" fillId="0" borderId="0" xfId="0" applyFont="1" applyAlignment="1">
      <alignment horizontal="center"/>
    </xf>
    <xf numFmtId="0" fontId="27" fillId="0" borderId="15" xfId="0" applyFont="1" applyBorder="1" applyAlignment="1" applyProtection="1">
      <alignment vertical="top"/>
      <protection locked="0"/>
    </xf>
    <xf numFmtId="0" fontId="27" fillId="0" borderId="0" xfId="0" applyFont="1" applyBorder="1" applyAlignment="1" applyProtection="1">
      <alignment vertical="top"/>
      <protection locked="0"/>
    </xf>
    <xf numFmtId="0" fontId="27" fillId="0" borderId="10" xfId="0" applyFont="1" applyBorder="1" applyAlignment="1" applyProtection="1">
      <alignment vertical="top"/>
      <protection locked="0"/>
    </xf>
    <xf numFmtId="0" fontId="27" fillId="0" borderId="16" xfId="0" applyFont="1" applyBorder="1" applyAlignment="1" applyProtection="1">
      <alignment vertical="top"/>
      <protection locked="0"/>
    </xf>
    <xf numFmtId="178" fontId="10" fillId="0" borderId="10" xfId="0" applyNumberFormat="1" applyFont="1" applyBorder="1" applyAlignment="1" applyProtection="1">
      <alignment horizontal="center"/>
      <protection locked="0"/>
    </xf>
    <xf numFmtId="178" fontId="10" fillId="0" borderId="16" xfId="0" applyNumberFormat="1" applyFont="1" applyBorder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4" fillId="36" borderId="0" xfId="0" applyFont="1" applyFill="1" applyAlignment="1" applyProtection="1">
      <alignment vertical="top"/>
      <protection/>
    </xf>
    <xf numFmtId="14" fontId="10" fillId="0" borderId="10" xfId="0" applyNumberFormat="1" applyFont="1" applyBorder="1" applyAlignment="1" applyProtection="1">
      <alignment horizontal="center"/>
      <protection locked="0"/>
    </xf>
    <xf numFmtId="14" fontId="10" fillId="0" borderId="16" xfId="0" applyNumberFormat="1" applyFont="1" applyBorder="1" applyAlignment="1" applyProtection="1">
      <alignment horizontal="center"/>
      <protection locked="0"/>
    </xf>
    <xf numFmtId="1" fontId="22" fillId="0" borderId="10" xfId="0" applyNumberFormat="1" applyFont="1" applyBorder="1" applyAlignment="1" applyProtection="1">
      <alignment horizontal="left"/>
      <protection locked="0"/>
    </xf>
    <xf numFmtId="1" fontId="22" fillId="0" borderId="16" xfId="0" applyNumberFormat="1" applyFont="1" applyBorder="1" applyAlignment="1" applyProtection="1">
      <alignment horizontal="left"/>
      <protection locked="0"/>
    </xf>
    <xf numFmtId="2" fontId="11" fillId="36" borderId="0" xfId="0" applyNumberFormat="1" applyFont="1" applyFill="1" applyBorder="1" applyAlignment="1" applyProtection="1">
      <alignment horizontal="center" vertical="center"/>
      <protection/>
    </xf>
    <xf numFmtId="49" fontId="24" fillId="8" borderId="46" xfId="0" applyNumberFormat="1" applyFont="1" applyFill="1" applyBorder="1" applyAlignment="1" applyProtection="1">
      <alignment horizontal="center" vertical="center"/>
      <protection locked="0"/>
    </xf>
    <xf numFmtId="0" fontId="0" fillId="2" borderId="36" xfId="0" applyFont="1" applyFill="1" applyBorder="1" applyAlignment="1" applyProtection="1">
      <alignment/>
      <protection/>
    </xf>
    <xf numFmtId="0" fontId="0" fillId="2" borderId="40" xfId="0" applyFill="1" applyBorder="1" applyAlignment="1" applyProtection="1">
      <alignment/>
      <protection/>
    </xf>
    <xf numFmtId="0" fontId="0" fillId="2" borderId="28" xfId="0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16" fillId="36" borderId="0" xfId="0" applyFont="1" applyFill="1" applyAlignment="1" applyProtection="1">
      <alignment horizontal="left"/>
      <protection/>
    </xf>
    <xf numFmtId="0" fontId="15" fillId="36" borderId="0" xfId="0" applyFont="1" applyFill="1" applyAlignment="1" applyProtection="1">
      <alignment horizontal="left"/>
      <protection/>
    </xf>
    <xf numFmtId="0" fontId="4" fillId="0" borderId="36" xfId="0" applyFont="1" applyBorder="1" applyAlignment="1" applyProtection="1">
      <alignment horizontal="center"/>
      <protection locked="0"/>
    </xf>
    <xf numFmtId="0" fontId="11" fillId="36" borderId="13" xfId="0" applyFont="1" applyFill="1" applyBorder="1" applyAlignment="1" applyProtection="1">
      <alignment horizontal="left"/>
      <protection/>
    </xf>
    <xf numFmtId="0" fontId="13" fillId="41" borderId="10" xfId="0" applyFont="1" applyFill="1" applyBorder="1" applyAlignment="1" applyProtection="1">
      <alignment/>
      <protection/>
    </xf>
    <xf numFmtId="0" fontId="0" fillId="41" borderId="16" xfId="0" applyFill="1" applyBorder="1" applyAlignment="1" applyProtection="1">
      <alignment/>
      <protection/>
    </xf>
    <xf numFmtId="0" fontId="89" fillId="36" borderId="0" xfId="0" applyFont="1" applyFill="1" applyAlignment="1" applyProtection="1">
      <alignment/>
      <protection/>
    </xf>
    <xf numFmtId="0" fontId="101" fillId="0" borderId="0" xfId="0" applyFont="1" applyAlignment="1">
      <alignment/>
    </xf>
    <xf numFmtId="0" fontId="10" fillId="36" borderId="0" xfId="0" applyFont="1" applyFill="1" applyBorder="1" applyAlignment="1" applyProtection="1">
      <alignment horizontal="center"/>
      <protection/>
    </xf>
    <xf numFmtId="0" fontId="10" fillId="41" borderId="10" xfId="0" applyFont="1" applyFill="1" applyBorder="1" applyAlignment="1" applyProtection="1">
      <alignment/>
      <protection/>
    </xf>
    <xf numFmtId="0" fontId="11" fillId="41" borderId="16" xfId="0" applyFont="1" applyFill="1" applyBorder="1" applyAlignment="1">
      <alignment/>
    </xf>
    <xf numFmtId="0" fontId="13" fillId="0" borderId="10" xfId="0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95" fillId="36" borderId="0" xfId="0" applyFont="1" applyFill="1" applyAlignment="1" applyProtection="1">
      <alignment horizontal="center"/>
      <protection/>
    </xf>
    <xf numFmtId="0" fontId="93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rozent 2" xfId="59"/>
    <cellStyle name="Prozent 3" xfId="60"/>
    <cellStyle name="Standard 2" xfId="61"/>
    <cellStyle name="Title" xfId="62"/>
    <cellStyle name="Total" xfId="63"/>
    <cellStyle name="Warning Text" xfId="64"/>
  </cellStyles>
  <dxfs count="16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indexed="13"/>
        </patternFill>
      </fill>
    </dxf>
    <dxf>
      <fill>
        <patternFill>
          <bgColor theme="1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theme="1"/>
        </patternFill>
      </fill>
    </dxf>
    <dxf>
      <fill>
        <patternFill>
          <bgColor indexed="13"/>
        </patternFill>
      </fill>
    </dxf>
    <dxf>
      <fill>
        <patternFill>
          <bgColor theme="1"/>
        </patternFill>
      </fill>
    </dxf>
    <dxf>
      <fill>
        <patternFill>
          <bgColor indexed="13"/>
        </patternFill>
      </fill>
    </dxf>
    <dxf>
      <fill>
        <patternFill>
          <bgColor theme="1"/>
        </patternFill>
      </fill>
    </dxf>
    <dxf>
      <fill>
        <patternFill>
          <bgColor indexed="13"/>
        </patternFill>
      </fill>
    </dxf>
    <dxf>
      <fill>
        <patternFill>
          <bgColor theme="1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34"/>
        </patternFill>
      </fill>
    </dxf>
    <dxf>
      <fill>
        <patternFill>
          <bgColor indexed="13"/>
        </patternFill>
      </fill>
    </dxf>
    <dxf>
      <fill>
        <patternFill>
          <bgColor indexed="3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theme="0" tint="-0.24993999302387238"/>
        </patternFill>
      </fill>
    </dxf>
    <dxf>
      <fill>
        <patternFill>
          <bgColor indexed="13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24993999302387238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indexed="13"/>
        </patternFill>
      </fill>
    </dxf>
    <dxf>
      <fill>
        <patternFill>
          <bgColor theme="0" tint="-0.24993999302387238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theme="0" tint="-0.24993999302387238"/>
        </patternFill>
      </fill>
    </dxf>
    <dxf>
      <fill>
        <patternFill>
          <bgColor indexed="13"/>
        </patternFill>
      </fill>
    </dxf>
    <dxf>
      <fill>
        <patternFill>
          <bgColor theme="0" tint="-0.24993999302387238"/>
        </patternFill>
      </fill>
    </dxf>
    <dxf>
      <fill>
        <patternFill>
          <bgColor indexed="13"/>
        </patternFill>
      </fill>
    </dxf>
    <dxf>
      <fill>
        <patternFill>
          <bgColor theme="0" tint="-0.24993999302387238"/>
        </patternFill>
      </fill>
    </dxf>
    <dxf>
      <fill>
        <patternFill>
          <bgColor indexed="13"/>
        </patternFill>
      </fill>
    </dxf>
    <dxf>
      <fill>
        <patternFill>
          <bgColor theme="0" tint="-0.24993999302387238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theme="0" tint="-0.24993999302387238"/>
        </patternFill>
      </fill>
    </dxf>
    <dxf>
      <fill>
        <patternFill>
          <bgColor indexed="13"/>
        </patternFill>
      </fill>
    </dxf>
    <dxf>
      <fill>
        <patternFill>
          <bgColor theme="0" tint="-0.24993999302387238"/>
        </patternFill>
      </fill>
    </dxf>
    <dxf>
      <fill>
        <patternFill>
          <bgColor indexed="13"/>
        </patternFill>
      </fill>
    </dxf>
    <dxf>
      <fill>
        <patternFill>
          <bgColor theme="0" tint="-0.24993999302387238"/>
        </patternFill>
      </fill>
    </dxf>
    <dxf>
      <fill>
        <patternFill>
          <bgColor indexed="13"/>
        </patternFill>
      </fill>
    </dxf>
    <dxf>
      <fill>
        <patternFill>
          <bgColor theme="0" tint="-0.24993999302387238"/>
        </patternFill>
      </fill>
    </dxf>
    <dxf>
      <fill>
        <patternFill>
          <bgColor indexed="13"/>
        </patternFill>
      </fill>
    </dxf>
    <dxf>
      <fill>
        <patternFill>
          <bgColor theme="0" tint="-0.24993999302387238"/>
        </patternFill>
      </fill>
    </dxf>
    <dxf>
      <fill>
        <patternFill>
          <bgColor indexed="13"/>
        </patternFill>
      </fill>
    </dxf>
    <dxf>
      <fill>
        <patternFill>
          <bgColor theme="0" tint="-0.24993999302387238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13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34"/>
        </patternFill>
      </fill>
    </dxf>
    <dxf>
      <fill>
        <patternFill>
          <bgColor theme="0" tint="-0.24993999302387238"/>
        </patternFill>
      </fill>
    </dxf>
    <dxf>
      <fill>
        <patternFill>
          <bgColor indexed="13"/>
        </patternFill>
      </fill>
    </dxf>
    <dxf>
      <fill>
        <patternFill>
          <bgColor indexed="34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28575</xdr:rowOff>
    </xdr:from>
    <xdr:to>
      <xdr:col>10</xdr:col>
      <xdr:colOff>742950</xdr:colOff>
      <xdr:row>5</xdr:row>
      <xdr:rowOff>9525</xdr:rowOff>
    </xdr:to>
    <xdr:pic>
      <xdr:nvPicPr>
        <xdr:cNvPr id="1" name="Grafik 78" descr="Logo OV Börse (2015)"/>
        <xdr:cNvPicPr preferRelativeResize="1">
          <a:picLocks noChangeAspect="1"/>
        </xdr:cNvPicPr>
      </xdr:nvPicPr>
      <xdr:blipFill>
        <a:blip r:embed="rId1"/>
        <a:srcRect r="60171"/>
        <a:stretch>
          <a:fillRect/>
        </a:stretch>
      </xdr:blipFill>
      <xdr:spPr>
        <a:xfrm>
          <a:off x="3905250" y="28575"/>
          <a:ext cx="2276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V-Underwriting@Inter.de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V-Underwriting@Inter.de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3"/>
  <sheetViews>
    <sheetView showGridLines="0" tabSelected="1" zoomScaleSheetLayoutView="115" zoomScalePageLayoutView="0" workbookViewId="0" topLeftCell="A1">
      <selection activeCell="L9" sqref="L9"/>
    </sheetView>
  </sheetViews>
  <sheetFormatPr defaultColWidth="11.421875" defaultRowHeight="12.75"/>
  <cols>
    <col min="1" max="1" width="0.85546875" style="1" customWidth="1"/>
    <col min="2" max="4" width="11.421875" style="1" customWidth="1"/>
    <col min="5" max="5" width="10.00390625" style="1" customWidth="1"/>
    <col min="6" max="6" width="0.5625" style="1" customWidth="1"/>
    <col min="7" max="7" width="12.421875" style="1" customWidth="1"/>
    <col min="8" max="8" width="11.421875" style="1" customWidth="1"/>
    <col min="9" max="9" width="0.5625" style="1" customWidth="1"/>
    <col min="10" max="12" width="11.421875" style="1" customWidth="1"/>
    <col min="13" max="13" width="15.421875" style="1" customWidth="1"/>
    <col min="14" max="17" width="11.421875" style="1" customWidth="1"/>
    <col min="18" max="18" width="26.421875" style="1" customWidth="1"/>
    <col min="19" max="19" width="27.140625" style="1" bestFit="1" customWidth="1"/>
    <col min="20" max="20" width="25.140625" style="1" bestFit="1" customWidth="1"/>
    <col min="21" max="21" width="23.140625" style="1" bestFit="1" customWidth="1"/>
    <col min="22" max="22" width="25.140625" style="1" bestFit="1" customWidth="1"/>
    <col min="23" max="23" width="29.421875" style="1" bestFit="1" customWidth="1"/>
    <col min="24" max="24" width="26.8515625" style="1" bestFit="1" customWidth="1"/>
    <col min="25" max="25" width="24.57421875" style="1" bestFit="1" customWidth="1"/>
    <col min="26" max="16384" width="11.421875" style="1" customWidth="1"/>
  </cols>
  <sheetData>
    <row r="1" spans="1:12" ht="8.25" customHeight="1">
      <c r="A1" s="362"/>
      <c r="B1" s="362"/>
      <c r="C1" s="362"/>
      <c r="D1" s="362"/>
      <c r="E1" s="362"/>
      <c r="F1" s="362"/>
      <c r="G1" s="362"/>
      <c r="H1" s="362"/>
      <c r="I1" s="56"/>
      <c r="J1" s="362"/>
      <c r="K1" s="362"/>
      <c r="L1" s="8"/>
    </row>
    <row r="2" spans="1:12" ht="20.25">
      <c r="A2" s="362"/>
      <c r="B2" s="364" t="s">
        <v>106</v>
      </c>
      <c r="C2" s="365"/>
      <c r="D2" s="365"/>
      <c r="E2" s="365"/>
      <c r="F2" s="365"/>
      <c r="G2" s="365"/>
      <c r="H2" s="45"/>
      <c r="I2" s="45"/>
      <c r="J2" s="363"/>
      <c r="K2" s="362"/>
      <c r="L2" s="8"/>
    </row>
    <row r="3" spans="1:12" ht="18">
      <c r="A3" s="362"/>
      <c r="B3" s="366" t="s">
        <v>307</v>
      </c>
      <c r="C3" s="367"/>
      <c r="D3" s="367"/>
      <c r="E3" s="367"/>
      <c r="F3" s="367"/>
      <c r="G3" s="367"/>
      <c r="H3" s="46"/>
      <c r="I3" s="46"/>
      <c r="J3" s="363"/>
      <c r="K3" s="362"/>
      <c r="L3" s="8"/>
    </row>
    <row r="4" spans="1:18" ht="12.75">
      <c r="A4" s="362"/>
      <c r="B4" s="367"/>
      <c r="C4" s="367"/>
      <c r="D4" s="367"/>
      <c r="E4" s="367"/>
      <c r="F4" s="367"/>
      <c r="G4" s="367"/>
      <c r="H4" s="56"/>
      <c r="I4" s="56"/>
      <c r="J4" s="363"/>
      <c r="K4" s="362"/>
      <c r="L4" s="8"/>
      <c r="R4"/>
    </row>
    <row r="5" spans="1:12" ht="12.75" customHeight="1">
      <c r="A5" s="362"/>
      <c r="B5" s="24"/>
      <c r="C5" s="24"/>
      <c r="D5" s="24"/>
      <c r="E5" s="24"/>
      <c r="F5" s="24"/>
      <c r="G5" s="24"/>
      <c r="H5" s="24"/>
      <c r="I5" s="24"/>
      <c r="J5" s="363"/>
      <c r="K5" s="362"/>
      <c r="L5" s="8"/>
    </row>
    <row r="6" spans="1:12" ht="11.25" customHeight="1">
      <c r="A6" s="368"/>
      <c r="B6" s="368"/>
      <c r="C6" s="368"/>
      <c r="D6" s="368"/>
      <c r="E6" s="368"/>
      <c r="F6" s="368"/>
      <c r="G6" s="368"/>
      <c r="H6" s="368"/>
      <c r="I6" s="368"/>
      <c r="J6" s="344"/>
      <c r="K6" s="344"/>
      <c r="L6" s="8"/>
    </row>
    <row r="7" spans="1:18" ht="12.75">
      <c r="A7" s="2"/>
      <c r="B7" s="369" t="s">
        <v>2</v>
      </c>
      <c r="C7" s="370"/>
      <c r="D7" s="370"/>
      <c r="E7" s="338"/>
      <c r="F7" s="47"/>
      <c r="G7" s="25" t="s">
        <v>354</v>
      </c>
      <c r="H7" s="345" t="s">
        <v>380</v>
      </c>
      <c r="I7" s="346"/>
      <c r="J7" s="346"/>
      <c r="K7" s="346"/>
      <c r="L7" s="8"/>
      <c r="R7"/>
    </row>
    <row r="8" spans="1:12" ht="4.5" customHeight="1">
      <c r="A8" s="2"/>
      <c r="B8" s="338"/>
      <c r="C8" s="338"/>
      <c r="D8" s="338"/>
      <c r="E8" s="338"/>
      <c r="F8" s="47"/>
      <c r="G8" s="25"/>
      <c r="H8" s="345"/>
      <c r="I8" s="346"/>
      <c r="J8" s="346"/>
      <c r="K8" s="346"/>
      <c r="L8" s="8"/>
    </row>
    <row r="9" spans="1:13" ht="12.75">
      <c r="A9" s="2"/>
      <c r="B9" s="25" t="s">
        <v>6</v>
      </c>
      <c r="C9" s="338" t="s">
        <v>7</v>
      </c>
      <c r="D9" s="338"/>
      <c r="E9" s="338"/>
      <c r="F9" s="47"/>
      <c r="G9" s="25" t="s">
        <v>5</v>
      </c>
      <c r="H9" s="347" t="s">
        <v>381</v>
      </c>
      <c r="I9" s="348"/>
      <c r="J9" s="348"/>
      <c r="K9" s="348"/>
      <c r="L9" s="8"/>
      <c r="M9"/>
    </row>
    <row r="10" spans="1:12" ht="4.5" customHeight="1">
      <c r="A10" s="2"/>
      <c r="B10" s="25"/>
      <c r="C10" s="25"/>
      <c r="D10" s="25"/>
      <c r="E10" s="338"/>
      <c r="F10" s="47"/>
      <c r="G10" s="25"/>
      <c r="H10" s="375"/>
      <c r="I10" s="375"/>
      <c r="J10" s="375"/>
      <c r="K10" s="375"/>
      <c r="L10" s="8"/>
    </row>
    <row r="11" spans="1:12" ht="12.75">
      <c r="A11" s="2"/>
      <c r="B11" s="25" t="s">
        <v>0</v>
      </c>
      <c r="C11" s="25" t="s">
        <v>8</v>
      </c>
      <c r="D11" s="25"/>
      <c r="E11" s="338"/>
      <c r="F11" s="47"/>
      <c r="G11" s="25" t="s">
        <v>4</v>
      </c>
      <c r="H11" s="352">
        <v>676817</v>
      </c>
      <c r="I11" s="353"/>
      <c r="J11" s="376"/>
      <c r="K11" s="376"/>
      <c r="L11" s="8"/>
    </row>
    <row r="12" spans="1:12" ht="4.5" customHeight="1">
      <c r="A12" s="2"/>
      <c r="B12" s="25"/>
      <c r="C12" s="25"/>
      <c r="D12" s="25"/>
      <c r="E12" s="338"/>
      <c r="F12" s="47"/>
      <c r="G12" s="25"/>
      <c r="H12" s="351"/>
      <c r="I12" s="351"/>
      <c r="J12" s="351"/>
      <c r="K12" s="351"/>
      <c r="L12" s="8"/>
    </row>
    <row r="13" spans="1:12" ht="12.75">
      <c r="A13" s="2"/>
      <c r="B13" s="25" t="s">
        <v>308</v>
      </c>
      <c r="C13" s="371" t="s">
        <v>87</v>
      </c>
      <c r="D13" s="372"/>
      <c r="E13" s="372"/>
      <c r="F13" s="55"/>
      <c r="G13" s="25" t="s">
        <v>26</v>
      </c>
      <c r="H13" s="373">
        <f ca="1">TODAY()</f>
        <v>44585</v>
      </c>
      <c r="I13" s="374"/>
      <c r="J13" s="374"/>
      <c r="K13" s="374"/>
      <c r="L13" s="8"/>
    </row>
    <row r="14" spans="1:12" ht="4.5" customHeight="1">
      <c r="A14" s="2"/>
      <c r="B14" s="25" t="s">
        <v>5</v>
      </c>
      <c r="C14" s="25" t="s">
        <v>5</v>
      </c>
      <c r="D14" s="25"/>
      <c r="E14" s="25"/>
      <c r="F14" s="25"/>
      <c r="G14" s="25" t="s">
        <v>5</v>
      </c>
      <c r="H14" s="351"/>
      <c r="I14" s="351"/>
      <c r="J14" s="351"/>
      <c r="K14" s="351"/>
      <c r="L14" s="8"/>
    </row>
    <row r="15" spans="1:12" ht="1.5" customHeight="1">
      <c r="A15" s="2"/>
      <c r="B15" s="21"/>
      <c r="C15" s="21"/>
      <c r="D15" s="21"/>
      <c r="E15" s="21"/>
      <c r="F15" s="21"/>
      <c r="G15" s="21"/>
      <c r="H15" s="4"/>
      <c r="I15" s="21"/>
      <c r="J15" s="4"/>
      <c r="K15" s="4"/>
      <c r="L15" s="8"/>
    </row>
    <row r="16" spans="1:12" ht="12.75">
      <c r="A16" s="343"/>
      <c r="B16" s="344"/>
      <c r="C16" s="344"/>
      <c r="D16" s="344"/>
      <c r="E16" s="344"/>
      <c r="F16" s="344"/>
      <c r="G16" s="344"/>
      <c r="H16" s="344"/>
      <c r="I16" s="344"/>
      <c r="J16" s="344"/>
      <c r="K16" s="344"/>
      <c r="L16" s="8"/>
    </row>
    <row r="17" spans="1:18" ht="12.75">
      <c r="A17" s="2"/>
      <c r="B17" s="349" t="s">
        <v>71</v>
      </c>
      <c r="C17" s="338"/>
      <c r="D17" s="338"/>
      <c r="E17" s="338"/>
      <c r="F17" s="47"/>
      <c r="G17" s="25" t="s">
        <v>9</v>
      </c>
      <c r="H17" s="25" t="s">
        <v>49</v>
      </c>
      <c r="I17" s="47"/>
      <c r="J17" s="25" t="s">
        <v>50</v>
      </c>
      <c r="K17" s="25"/>
      <c r="L17" s="8"/>
      <c r="R17"/>
    </row>
    <row r="18" spans="1:12" ht="4.5" customHeight="1">
      <c r="A18" s="2"/>
      <c r="B18" s="350"/>
      <c r="C18" s="350"/>
      <c r="D18" s="350"/>
      <c r="E18" s="350"/>
      <c r="F18" s="350"/>
      <c r="G18" s="350"/>
      <c r="H18" s="350"/>
      <c r="I18" s="350"/>
      <c r="J18" s="350"/>
      <c r="K18" s="350"/>
      <c r="L18" s="8"/>
    </row>
    <row r="19" spans="1:12" ht="12.75">
      <c r="A19" s="2"/>
      <c r="B19" s="25" t="s">
        <v>10</v>
      </c>
      <c r="C19" s="352"/>
      <c r="D19" s="353"/>
      <c r="E19" s="353"/>
      <c r="F19" s="353"/>
      <c r="G19" s="353"/>
      <c r="H19" s="353"/>
      <c r="I19" s="353"/>
      <c r="J19" s="353"/>
      <c r="K19" s="353"/>
      <c r="L19" s="8"/>
    </row>
    <row r="20" spans="1:12" ht="4.5" customHeight="1">
      <c r="A20" s="2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8"/>
    </row>
    <row r="21" spans="1:12" ht="12.75">
      <c r="A21" s="2"/>
      <c r="B21" s="25" t="s">
        <v>11</v>
      </c>
      <c r="C21" s="352"/>
      <c r="D21" s="353"/>
      <c r="E21" s="353"/>
      <c r="F21" s="353"/>
      <c r="G21" s="353"/>
      <c r="H21" s="353"/>
      <c r="I21" s="353"/>
      <c r="J21" s="353"/>
      <c r="K21" s="353"/>
      <c r="L21" s="8"/>
    </row>
    <row r="22" spans="1:12" ht="4.5" customHeight="1">
      <c r="A22" s="2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8"/>
    </row>
    <row r="23" spans="1:12" ht="12.75">
      <c r="A23" s="2"/>
      <c r="B23" s="25" t="s">
        <v>12</v>
      </c>
      <c r="C23" s="377" t="s">
        <v>88</v>
      </c>
      <c r="D23" s="378"/>
      <c r="E23" s="377" t="s">
        <v>70</v>
      </c>
      <c r="F23" s="377"/>
      <c r="G23" s="378"/>
      <c r="H23" s="53" t="s">
        <v>69</v>
      </c>
      <c r="I23" s="53"/>
      <c r="J23" s="379"/>
      <c r="K23" s="380"/>
      <c r="L23" s="128" t="b">
        <v>0</v>
      </c>
    </row>
    <row r="24" spans="1:12" ht="4.5" customHeight="1">
      <c r="A24" s="2"/>
      <c r="B24" s="25"/>
      <c r="C24" s="25"/>
      <c r="D24" s="25"/>
      <c r="E24" s="25"/>
      <c r="F24" s="25"/>
      <c r="G24" s="25"/>
      <c r="H24" s="25"/>
      <c r="I24" s="25"/>
      <c r="J24" s="26"/>
      <c r="K24" s="26"/>
      <c r="L24" s="8"/>
    </row>
    <row r="25" spans="1:12" ht="12.75">
      <c r="A25" s="2"/>
      <c r="B25" s="25"/>
      <c r="C25" s="221" t="s">
        <v>53</v>
      </c>
      <c r="D25" s="223"/>
      <c r="E25" s="352"/>
      <c r="F25" s="353"/>
      <c r="G25" s="353"/>
      <c r="H25" s="353"/>
      <c r="I25" s="353"/>
      <c r="J25" s="353"/>
      <c r="K25" s="353"/>
      <c r="L25" s="128" t="b">
        <v>0</v>
      </c>
    </row>
    <row r="26" spans="1:12" ht="4.5" customHeight="1">
      <c r="A26" s="2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8"/>
    </row>
    <row r="27" spans="1:12" ht="12.75" customHeight="1">
      <c r="A27" s="2"/>
      <c r="B27" s="338" t="s">
        <v>120</v>
      </c>
      <c r="C27" s="381"/>
      <c r="D27" s="382" t="s">
        <v>376</v>
      </c>
      <c r="E27" s="383"/>
      <c r="F27" s="383"/>
      <c r="G27" s="383"/>
      <c r="H27" s="72" t="s">
        <v>348</v>
      </c>
      <c r="I27" s="222"/>
      <c r="J27" s="222"/>
      <c r="K27" s="222"/>
      <c r="L27" s="8"/>
    </row>
    <row r="28" spans="1:12" ht="4.5" customHeight="1">
      <c r="A28" s="2"/>
      <c r="B28" s="224"/>
      <c r="C28" s="27"/>
      <c r="D28" s="52"/>
      <c r="E28" s="51"/>
      <c r="F28" s="51"/>
      <c r="G28" s="51"/>
      <c r="H28" s="51"/>
      <c r="I28" s="51"/>
      <c r="J28" s="27"/>
      <c r="K28" s="52"/>
      <c r="L28" s="8"/>
    </row>
    <row r="29" spans="1:12" ht="1.5" customHeight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8"/>
    </row>
    <row r="30" spans="1:12" ht="12.75">
      <c r="A30" s="343"/>
      <c r="B30" s="344"/>
      <c r="C30" s="344"/>
      <c r="D30" s="344"/>
      <c r="E30" s="344"/>
      <c r="F30" s="344"/>
      <c r="G30" s="344"/>
      <c r="H30" s="344"/>
      <c r="I30" s="344"/>
      <c r="J30" s="344" t="b">
        <v>1</v>
      </c>
      <c r="K30" s="344"/>
      <c r="L30" s="8"/>
    </row>
    <row r="31" spans="1:12" ht="12.75">
      <c r="A31" s="2"/>
      <c r="B31" s="349" t="s">
        <v>72</v>
      </c>
      <c r="C31" s="349"/>
      <c r="D31" s="349"/>
      <c r="E31" s="349"/>
      <c r="F31" s="48"/>
      <c r="G31" s="25"/>
      <c r="H31" s="25"/>
      <c r="I31" s="48"/>
      <c r="J31" s="25"/>
      <c r="K31" s="25"/>
      <c r="L31" s="8"/>
    </row>
    <row r="32" spans="1:12" ht="4.5" customHeight="1">
      <c r="A32" s="2"/>
      <c r="B32" s="26"/>
      <c r="C32" s="26"/>
      <c r="D32" s="26"/>
      <c r="E32" s="26"/>
      <c r="F32" s="26"/>
      <c r="G32" s="26"/>
      <c r="H32" s="26"/>
      <c r="I32" s="26"/>
      <c r="J32" s="43" t="b">
        <v>1</v>
      </c>
      <c r="K32" s="26"/>
      <c r="L32" s="8"/>
    </row>
    <row r="33" spans="1:12" ht="12.75">
      <c r="A33" s="2"/>
      <c r="B33" s="25" t="s">
        <v>13</v>
      </c>
      <c r="C33" s="299"/>
      <c r="D33" s="26" t="s">
        <v>15</v>
      </c>
      <c r="E33" s="26" t="s">
        <v>14</v>
      </c>
      <c r="F33" s="337">
        <v>45261</v>
      </c>
      <c r="G33" s="299"/>
      <c r="H33" s="26" t="s">
        <v>16</v>
      </c>
      <c r="I33" s="26"/>
      <c r="J33" s="26"/>
      <c r="K33" s="26"/>
      <c r="L33" s="8"/>
    </row>
    <row r="34" spans="1:12" ht="4.5" customHeight="1">
      <c r="A34" s="2"/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8"/>
    </row>
    <row r="35" spans="1:12" ht="13.5">
      <c r="A35" s="2"/>
      <c r="B35" s="25" t="s">
        <v>17</v>
      </c>
      <c r="C35" s="358" t="s">
        <v>377</v>
      </c>
      <c r="D35" s="359"/>
      <c r="E35" s="72" t="s">
        <v>344</v>
      </c>
      <c r="F35" s="76"/>
      <c r="G35" s="113">
        <f>IF(C35="monatlich*","* nur im Lastschriftverfahren möglich!","")</f>
      </c>
      <c r="H35" s="113"/>
      <c r="I35" s="113"/>
      <c r="J35" s="113"/>
      <c r="K35" s="113"/>
      <c r="L35" s="8"/>
    </row>
    <row r="36" spans="1:12" ht="4.5" customHeight="1">
      <c r="A36" s="2"/>
      <c r="B36" s="25"/>
      <c r="C36" s="78"/>
      <c r="D36" s="78"/>
      <c r="E36" s="112"/>
      <c r="F36" s="26"/>
      <c r="G36" s="26"/>
      <c r="H36" s="26"/>
      <c r="I36" s="26"/>
      <c r="J36" s="26"/>
      <c r="K36" s="26"/>
      <c r="L36" s="8"/>
    </row>
    <row r="37" spans="1:12" ht="13.5">
      <c r="A37" s="2"/>
      <c r="B37" s="25" t="s">
        <v>18</v>
      </c>
      <c r="C37" s="358"/>
      <c r="D37" s="359"/>
      <c r="E37" s="72" t="s">
        <v>344</v>
      </c>
      <c r="F37" s="47"/>
      <c r="G37" s="25"/>
      <c r="H37" s="113"/>
      <c r="I37" s="113"/>
      <c r="J37" s="113"/>
      <c r="K37" s="113"/>
      <c r="L37" s="8"/>
    </row>
    <row r="38" spans="1:12" ht="4.5" customHeight="1">
      <c r="A38" s="2"/>
      <c r="B38" s="25"/>
      <c r="C38" s="26"/>
      <c r="D38" s="26"/>
      <c r="E38" s="26"/>
      <c r="F38" s="26"/>
      <c r="G38" s="26" t="s">
        <v>5</v>
      </c>
      <c r="H38" s="26"/>
      <c r="I38" s="26"/>
      <c r="J38" s="26"/>
      <c r="K38" s="26"/>
      <c r="L38" s="8"/>
    </row>
    <row r="39" spans="1:12" ht="12.75">
      <c r="A39" s="2"/>
      <c r="B39" s="82" t="s">
        <v>176</v>
      </c>
      <c r="C39" s="119"/>
      <c r="D39" s="119"/>
      <c r="E39" s="119"/>
      <c r="F39" s="239"/>
      <c r="G39" s="119"/>
      <c r="H39" s="119"/>
      <c r="I39" s="239" t="s">
        <v>5</v>
      </c>
      <c r="J39" s="119"/>
      <c r="K39" s="113"/>
      <c r="L39" s="8"/>
    </row>
    <row r="40" spans="1:12" ht="4.5" customHeight="1">
      <c r="A40" s="2"/>
      <c r="B40" s="25"/>
      <c r="C40" s="25"/>
      <c r="D40" s="25"/>
      <c r="E40" s="25"/>
      <c r="F40" s="25"/>
      <c r="G40" s="25"/>
      <c r="H40" s="26"/>
      <c r="I40" s="25"/>
      <c r="J40" s="26"/>
      <c r="K40" s="26"/>
      <c r="L40" s="8"/>
    </row>
    <row r="41" spans="1:12" ht="12.75">
      <c r="A41" s="2"/>
      <c r="B41" s="25" t="s">
        <v>177</v>
      </c>
      <c r="C41" s="386"/>
      <c r="D41" s="387"/>
      <c r="E41" s="387"/>
      <c r="F41" s="387"/>
      <c r="G41" s="387"/>
      <c r="H41" s="387"/>
      <c r="I41" s="387"/>
      <c r="J41" s="387"/>
      <c r="K41" s="113"/>
      <c r="L41" s="8"/>
    </row>
    <row r="42" spans="1:12" ht="4.5" customHeight="1">
      <c r="A42" s="2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8"/>
    </row>
    <row r="43" spans="1:12" ht="1.5" customHeight="1">
      <c r="A43" s="2"/>
      <c r="B43" s="4"/>
      <c r="C43" s="4"/>
      <c r="D43" s="4"/>
      <c r="E43" s="4"/>
      <c r="F43" s="4"/>
      <c r="G43" s="4"/>
      <c r="H43" s="4"/>
      <c r="I43" s="4"/>
      <c r="J43" s="4"/>
      <c r="K43" s="4"/>
      <c r="L43" s="8"/>
    </row>
    <row r="44" spans="1:12" ht="12.75">
      <c r="A44" s="343"/>
      <c r="B44" s="344"/>
      <c r="C44" s="344"/>
      <c r="D44" s="344"/>
      <c r="E44" s="344"/>
      <c r="F44" s="344"/>
      <c r="G44" s="344"/>
      <c r="H44" s="344"/>
      <c r="I44" s="344"/>
      <c r="J44" s="344"/>
      <c r="K44" s="344"/>
      <c r="L44" s="8"/>
    </row>
    <row r="45" spans="1:12" ht="12.75">
      <c r="A45" s="2"/>
      <c r="B45" s="349" t="s">
        <v>73</v>
      </c>
      <c r="C45" s="349"/>
      <c r="D45" s="349"/>
      <c r="E45" s="26"/>
      <c r="F45" s="26"/>
      <c r="G45" s="26"/>
      <c r="H45" s="26"/>
      <c r="I45" s="26"/>
      <c r="J45" s="26"/>
      <c r="K45" s="26"/>
      <c r="L45" s="8"/>
    </row>
    <row r="46" spans="1:12" ht="4.5" customHeight="1">
      <c r="A46" s="2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8"/>
    </row>
    <row r="47" spans="1:12" ht="12.75">
      <c r="A47" s="2"/>
      <c r="B47" s="25" t="s">
        <v>21</v>
      </c>
      <c r="C47" s="25"/>
      <c r="D47" s="302"/>
      <c r="E47" s="25"/>
      <c r="F47" s="25"/>
      <c r="G47" s="25" t="s">
        <v>19</v>
      </c>
      <c r="H47" s="384"/>
      <c r="I47" s="385"/>
      <c r="J47" s="385"/>
      <c r="K47" s="385"/>
      <c r="L47" s="8"/>
    </row>
    <row r="48" spans="1:12" ht="4.5" customHeight="1">
      <c r="A48" s="2"/>
      <c r="B48" s="25"/>
      <c r="C48" s="25"/>
      <c r="D48" s="25"/>
      <c r="E48" s="25"/>
      <c r="F48" s="25"/>
      <c r="G48" s="25"/>
      <c r="H48" s="26"/>
      <c r="I48" s="25"/>
      <c r="J48" s="26"/>
      <c r="K48" s="26"/>
      <c r="L48" s="8"/>
    </row>
    <row r="49" spans="1:12" ht="13.5">
      <c r="A49" s="2"/>
      <c r="B49" s="47" t="s">
        <v>22</v>
      </c>
      <c r="C49" s="25"/>
      <c r="D49" s="306"/>
      <c r="E49" s="47" t="s">
        <v>5</v>
      </c>
      <c r="F49" s="47"/>
      <c r="G49" s="28" t="s">
        <v>20</v>
      </c>
      <c r="H49" s="384"/>
      <c r="I49" s="385"/>
      <c r="J49" s="385"/>
      <c r="K49" s="385"/>
      <c r="L49" s="8"/>
    </row>
    <row r="50" spans="1:12" ht="4.5" customHeight="1">
      <c r="A50" s="2"/>
      <c r="B50" s="25"/>
      <c r="C50" s="25"/>
      <c r="D50" s="25"/>
      <c r="E50" s="25"/>
      <c r="F50" s="25"/>
      <c r="G50" s="25"/>
      <c r="H50" s="26"/>
      <c r="I50" s="25"/>
      <c r="J50" s="26"/>
      <c r="K50" s="26"/>
      <c r="L50" s="8"/>
    </row>
    <row r="51" spans="1:13" ht="13.5">
      <c r="A51" s="2"/>
      <c r="B51" s="207"/>
      <c r="C51" s="25"/>
      <c r="D51" s="25"/>
      <c r="E51" s="227"/>
      <c r="F51" s="47"/>
      <c r="G51" s="118"/>
      <c r="H51" s="25"/>
      <c r="I51" s="47"/>
      <c r="J51" s="338"/>
      <c r="K51" s="338"/>
      <c r="L51" s="8"/>
      <c r="M51" s="225"/>
    </row>
    <row r="52" spans="1:12" ht="4.5" customHeight="1">
      <c r="A52" s="2"/>
      <c r="B52" s="25"/>
      <c r="C52" s="25"/>
      <c r="D52" s="25"/>
      <c r="E52" s="47"/>
      <c r="F52" s="47"/>
      <c r="G52" s="47"/>
      <c r="H52" s="31"/>
      <c r="I52" s="47"/>
      <c r="J52" s="27"/>
      <c r="K52" s="51"/>
      <c r="L52" s="8"/>
    </row>
    <row r="53" spans="1:12" ht="12.75">
      <c r="A53" s="2"/>
      <c r="B53" s="338" t="s">
        <v>45</v>
      </c>
      <c r="C53" s="338"/>
      <c r="D53" s="302"/>
      <c r="E53" s="47"/>
      <c r="F53" s="47"/>
      <c r="G53" s="47" t="s">
        <v>23</v>
      </c>
      <c r="H53" s="125"/>
      <c r="I53" s="47"/>
      <c r="J53" s="32" t="s">
        <v>24</v>
      </c>
      <c r="K53" s="96"/>
      <c r="L53" s="8"/>
    </row>
    <row r="54" spans="1:12" ht="4.5" customHeight="1">
      <c r="A54" s="2"/>
      <c r="B54" s="339" t="s">
        <v>46</v>
      </c>
      <c r="C54" s="340"/>
      <c r="D54" s="29"/>
      <c r="E54" s="30"/>
      <c r="F54" s="30"/>
      <c r="G54" s="47"/>
      <c r="H54" s="31"/>
      <c r="I54" s="30"/>
      <c r="J54" s="32"/>
      <c r="K54" s="51"/>
      <c r="L54" s="8"/>
    </row>
    <row r="55" spans="1:12" ht="13.5">
      <c r="A55" s="2"/>
      <c r="B55" s="340"/>
      <c r="C55" s="340"/>
      <c r="D55" s="25"/>
      <c r="E55" s="25"/>
      <c r="F55" s="25"/>
      <c r="G55" s="25" t="s">
        <v>25</v>
      </c>
      <c r="H55" s="130"/>
      <c r="I55" s="25"/>
      <c r="J55" s="25" t="s">
        <v>26</v>
      </c>
      <c r="K55" s="126"/>
      <c r="L55" s="8"/>
    </row>
    <row r="56" spans="1:12" ht="4.5" customHeight="1">
      <c r="A56" s="2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8"/>
    </row>
    <row r="57" spans="1:12" ht="1.5" customHeight="1">
      <c r="A57" s="2"/>
      <c r="B57" s="4"/>
      <c r="C57" s="4"/>
      <c r="D57" s="4"/>
      <c r="E57" s="4"/>
      <c r="F57" s="4"/>
      <c r="G57" s="4"/>
      <c r="H57" s="4"/>
      <c r="I57" s="4"/>
      <c r="J57" s="4"/>
      <c r="K57" s="4"/>
      <c r="L57" s="8"/>
    </row>
    <row r="58" spans="1:12" ht="12.75">
      <c r="A58" s="138"/>
      <c r="B58" s="137"/>
      <c r="C58" s="137"/>
      <c r="D58" s="137"/>
      <c r="E58" s="137"/>
      <c r="F58" s="137"/>
      <c r="G58" s="137"/>
      <c r="H58" s="357">
        <f>IF(OR(AND(D49="Versicherer",D47="ja"),AND(D53="ja",OR(H53&gt;1,K53&gt;999))),"Direktionsanfrage !","")</f>
      </c>
      <c r="I58" s="357"/>
      <c r="J58" s="357"/>
      <c r="K58" s="357"/>
      <c r="L58" s="8"/>
    </row>
    <row r="59" spans="1:12" ht="13.5">
      <c r="A59" s="2"/>
      <c r="B59" s="349" t="s">
        <v>74</v>
      </c>
      <c r="C59" s="349"/>
      <c r="D59" s="349"/>
      <c r="E59" s="25"/>
      <c r="F59" s="25"/>
      <c r="G59" s="25"/>
      <c r="H59" s="25"/>
      <c r="I59" s="25"/>
      <c r="J59" s="127" t="s">
        <v>344</v>
      </c>
      <c r="K59" s="25"/>
      <c r="L59" s="8"/>
    </row>
    <row r="60" spans="1:12" ht="4.5" customHeight="1">
      <c r="A60" s="2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8"/>
    </row>
    <row r="61" spans="1:12" ht="12.75">
      <c r="A61" s="2"/>
      <c r="B61" s="361" t="s">
        <v>319</v>
      </c>
      <c r="C61" s="338"/>
      <c r="D61" s="338"/>
      <c r="E61" s="338"/>
      <c r="F61" s="338"/>
      <c r="G61" s="338"/>
      <c r="H61" s="338"/>
      <c r="I61" s="47"/>
      <c r="J61" s="123"/>
      <c r="K61" s="25"/>
      <c r="L61" s="8"/>
    </row>
    <row r="62" spans="1:12" ht="4.5" customHeight="1">
      <c r="A62" s="2"/>
      <c r="B62" s="47"/>
      <c r="C62" s="47"/>
      <c r="D62" s="47"/>
      <c r="E62" s="47"/>
      <c r="F62" s="47"/>
      <c r="G62" s="47"/>
      <c r="H62" s="47"/>
      <c r="I62" s="47"/>
      <c r="J62" s="29"/>
      <c r="K62" s="29"/>
      <c r="L62" s="8"/>
    </row>
    <row r="63" spans="1:12" ht="12.75">
      <c r="A63" s="2"/>
      <c r="B63" s="361" t="s">
        <v>201</v>
      </c>
      <c r="C63" s="338"/>
      <c r="D63" s="338"/>
      <c r="E63" s="338"/>
      <c r="F63" s="338"/>
      <c r="G63" s="338"/>
      <c r="H63" s="338"/>
      <c r="I63" s="47"/>
      <c r="J63" s="123"/>
      <c r="K63" s="25"/>
      <c r="L63" s="8"/>
    </row>
    <row r="64" spans="1:12" ht="4.5" customHeight="1">
      <c r="A64" s="2"/>
      <c r="B64" s="47"/>
      <c r="C64" s="47"/>
      <c r="D64" s="47"/>
      <c r="E64" s="47"/>
      <c r="F64" s="47"/>
      <c r="G64" s="47"/>
      <c r="H64" s="47"/>
      <c r="I64" s="47"/>
      <c r="J64" s="29"/>
      <c r="K64" s="29"/>
      <c r="L64" s="8"/>
    </row>
    <row r="65" spans="1:12" ht="12.75">
      <c r="A65" s="2"/>
      <c r="B65" s="361" t="s">
        <v>191</v>
      </c>
      <c r="C65" s="361"/>
      <c r="D65" s="361"/>
      <c r="E65" s="361"/>
      <c r="F65" s="361"/>
      <c r="G65" s="361"/>
      <c r="H65" s="361"/>
      <c r="I65" s="47"/>
      <c r="J65" s="123"/>
      <c r="K65" s="25"/>
      <c r="L65" s="8"/>
    </row>
    <row r="66" spans="1:12" ht="4.5" customHeight="1">
      <c r="A66" s="2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8"/>
    </row>
    <row r="67" spans="1:12" ht="1.5" customHeight="1">
      <c r="A67" s="2"/>
      <c r="B67" s="4"/>
      <c r="C67" s="4"/>
      <c r="D67" s="4"/>
      <c r="E67" s="4"/>
      <c r="F67" s="4"/>
      <c r="G67" s="4"/>
      <c r="H67" s="4"/>
      <c r="I67" s="4"/>
      <c r="J67" s="4"/>
      <c r="K67" s="4"/>
      <c r="L67" s="8"/>
    </row>
    <row r="68" spans="1:21" ht="12.75" customHeight="1">
      <c r="A68" s="138"/>
      <c r="B68" s="137"/>
      <c r="C68" s="137"/>
      <c r="D68" s="137"/>
      <c r="E68" s="137"/>
      <c r="F68" s="137"/>
      <c r="G68" s="137"/>
      <c r="H68" s="357">
        <f>IF(OR(J61="nein",J63="nein",J65="nein"),"Direktionsanfrage !","")</f>
      </c>
      <c r="I68" s="357"/>
      <c r="J68" s="357"/>
      <c r="K68" s="357"/>
      <c r="L68" s="8"/>
      <c r="T68" s="115"/>
      <c r="U68" s="115"/>
    </row>
    <row r="69" spans="1:21" ht="12.75">
      <c r="A69" s="2"/>
      <c r="B69" s="388" t="s">
        <v>75</v>
      </c>
      <c r="C69" s="388"/>
      <c r="D69" s="388"/>
      <c r="E69" s="26"/>
      <c r="F69" s="26"/>
      <c r="G69" s="26"/>
      <c r="H69" s="26"/>
      <c r="I69" s="26"/>
      <c r="J69" s="26"/>
      <c r="K69" s="26"/>
      <c r="L69" s="8"/>
      <c r="T69" s="115"/>
      <c r="U69" s="115"/>
    </row>
    <row r="70" spans="1:21" ht="13.5">
      <c r="A70" s="2"/>
      <c r="B70" s="72" t="s">
        <v>349</v>
      </c>
      <c r="C70" s="47"/>
      <c r="D70" s="360" t="s">
        <v>178</v>
      </c>
      <c r="E70" s="360"/>
      <c r="F70" s="50"/>
      <c r="G70" s="360" t="s">
        <v>179</v>
      </c>
      <c r="H70" s="360"/>
      <c r="I70" s="50"/>
      <c r="J70" s="360" t="s">
        <v>180</v>
      </c>
      <c r="K70" s="360"/>
      <c r="L70" s="8"/>
      <c r="T70" s="115"/>
      <c r="U70" s="115"/>
    </row>
    <row r="71" spans="1:21" ht="4.5" customHeight="1">
      <c r="A71" s="2"/>
      <c r="B71" s="26"/>
      <c r="C71" s="26"/>
      <c r="D71" s="26"/>
      <c r="E71" s="26"/>
      <c r="F71" s="50"/>
      <c r="G71" s="26"/>
      <c r="H71" s="26"/>
      <c r="I71" s="50"/>
      <c r="J71" s="26"/>
      <c r="K71" s="26"/>
      <c r="L71" s="8"/>
      <c r="S71" s="115"/>
      <c r="T71" s="115"/>
      <c r="U71" s="115"/>
    </row>
    <row r="72" spans="1:21" ht="12.75">
      <c r="A72" s="2"/>
      <c r="B72" s="392" t="s">
        <v>110</v>
      </c>
      <c r="C72" s="392"/>
      <c r="D72" s="447" t="s">
        <v>114</v>
      </c>
      <c r="E72" s="448"/>
      <c r="F72" s="69"/>
      <c r="G72" s="447" t="s">
        <v>114</v>
      </c>
      <c r="H72" s="448"/>
      <c r="I72" s="69"/>
      <c r="J72" s="447" t="s">
        <v>114</v>
      </c>
      <c r="K72" s="448"/>
      <c r="L72" s="8"/>
      <c r="S72" s="115"/>
      <c r="T72" s="115"/>
      <c r="U72" s="115"/>
    </row>
    <row r="73" spans="1:21" ht="4.5" customHeight="1">
      <c r="A73" s="2"/>
      <c r="B73" s="110"/>
      <c r="C73" s="111"/>
      <c r="D73" s="70"/>
      <c r="E73" s="70"/>
      <c r="F73" s="69"/>
      <c r="G73" s="70"/>
      <c r="H73" s="70"/>
      <c r="I73" s="69"/>
      <c r="J73" s="70"/>
      <c r="K73" s="70"/>
      <c r="L73" s="8"/>
      <c r="S73" s="115"/>
      <c r="T73" s="115"/>
      <c r="U73" s="115"/>
    </row>
    <row r="74" spans="1:21" ht="13.5">
      <c r="A74" s="2"/>
      <c r="B74" s="392" t="s">
        <v>55</v>
      </c>
      <c r="C74" s="392"/>
      <c r="D74" s="443"/>
      <c r="E74" s="444"/>
      <c r="F74" s="72"/>
      <c r="G74" s="443"/>
      <c r="H74" s="444"/>
      <c r="I74" s="72"/>
      <c r="J74" s="443"/>
      <c r="K74" s="444"/>
      <c r="L74" s="8"/>
      <c r="T74" s="115"/>
      <c r="U74" s="115"/>
    </row>
    <row r="75" spans="1:21" ht="13.5">
      <c r="A75" s="2"/>
      <c r="B75" s="158"/>
      <c r="C75" s="158"/>
      <c r="D75" s="356">
        <f>IF(AND(D72&lt;&gt;"Bitte wählen",D74&lt;&gt;"",D471=FALSE),D473,"")</f>
      </c>
      <c r="E75" s="356"/>
      <c r="F75" s="72"/>
      <c r="G75" s="356">
        <f>IF(AND(G72&lt;&gt;"Bitte wählen",G74&lt;&gt;"",E471=FALSE),D473,"")</f>
      </c>
      <c r="H75" s="356"/>
      <c r="I75" s="72"/>
      <c r="J75" s="356">
        <f>IF(AND(J72&lt;&gt;"Bitte wählen",J74&lt;&gt;"",G471=FALSE),D473,"")</f>
      </c>
      <c r="K75" s="356"/>
      <c r="L75" s="8"/>
      <c r="S75" s="115"/>
      <c r="T75" s="115"/>
      <c r="U75" s="115"/>
    </row>
    <row r="76" spans="1:21" ht="4.5" customHeight="1">
      <c r="A76" s="2"/>
      <c r="B76" s="110"/>
      <c r="C76" s="111"/>
      <c r="D76" s="70"/>
      <c r="E76" s="70"/>
      <c r="F76" s="69"/>
      <c r="G76" s="70"/>
      <c r="H76" s="70"/>
      <c r="I76" s="69"/>
      <c r="J76" s="70"/>
      <c r="K76" s="70"/>
      <c r="L76" s="8"/>
      <c r="S76" s="115"/>
      <c r="T76" s="115"/>
      <c r="U76" s="115"/>
    </row>
    <row r="77" spans="1:21" ht="13.5">
      <c r="A77" s="2"/>
      <c r="B77" s="392" t="s">
        <v>30</v>
      </c>
      <c r="C77" s="392"/>
      <c r="D77" s="445"/>
      <c r="E77" s="446"/>
      <c r="F77" s="69"/>
      <c r="G77" s="445"/>
      <c r="H77" s="446"/>
      <c r="I77" s="69"/>
      <c r="J77" s="445"/>
      <c r="K77" s="446"/>
      <c r="L77" s="8"/>
      <c r="S77" s="115"/>
      <c r="T77" s="115"/>
      <c r="U77" s="115"/>
    </row>
    <row r="78" spans="1:21" ht="4.5" customHeight="1">
      <c r="A78" s="2"/>
      <c r="B78" s="110"/>
      <c r="C78" s="111"/>
      <c r="D78" s="70"/>
      <c r="E78" s="70"/>
      <c r="F78" s="69"/>
      <c r="G78" s="70"/>
      <c r="H78" s="70"/>
      <c r="I78" s="69"/>
      <c r="J78" s="70"/>
      <c r="K78" s="70"/>
      <c r="L78" s="8"/>
      <c r="S78" s="115"/>
      <c r="T78" s="115"/>
      <c r="U78" s="115"/>
    </row>
    <row r="79" spans="1:21" ht="13.5">
      <c r="A79" s="2"/>
      <c r="B79" s="392" t="s">
        <v>28</v>
      </c>
      <c r="C79" s="392" t="s">
        <v>5</v>
      </c>
      <c r="D79" s="445"/>
      <c r="E79" s="446"/>
      <c r="F79" s="69"/>
      <c r="G79" s="445"/>
      <c r="H79" s="446"/>
      <c r="I79" s="69"/>
      <c r="J79" s="445"/>
      <c r="K79" s="446"/>
      <c r="L79" s="8"/>
      <c r="S79" s="115"/>
      <c r="T79" s="115"/>
      <c r="U79" s="115"/>
    </row>
    <row r="80" spans="1:21" ht="4.5" customHeight="1">
      <c r="A80" s="2"/>
      <c r="B80" s="110"/>
      <c r="C80" s="111"/>
      <c r="D80" s="26" t="s">
        <v>5</v>
      </c>
      <c r="E80" s="26"/>
      <c r="F80" s="50"/>
      <c r="G80" s="26"/>
      <c r="H80" s="26"/>
      <c r="I80" s="50"/>
      <c r="J80" s="26"/>
      <c r="K80" s="26"/>
      <c r="L80" s="8"/>
      <c r="S80" s="115"/>
      <c r="T80" s="115"/>
      <c r="U80" s="115"/>
    </row>
    <row r="81" spans="1:21" ht="13.5">
      <c r="A81" s="2"/>
      <c r="B81" s="392" t="s">
        <v>27</v>
      </c>
      <c r="C81" s="392"/>
      <c r="D81" s="389"/>
      <c r="E81" s="390"/>
      <c r="F81" s="71"/>
      <c r="G81" s="389"/>
      <c r="H81" s="390"/>
      <c r="I81" s="71"/>
      <c r="J81" s="389"/>
      <c r="K81" s="390"/>
      <c r="L81" s="8"/>
      <c r="S81" s="115"/>
      <c r="T81" s="115"/>
      <c r="U81" s="115"/>
    </row>
    <row r="82" spans="1:21" ht="4.5" customHeight="1">
      <c r="A82" s="2"/>
      <c r="B82" s="110"/>
      <c r="C82" s="111"/>
      <c r="D82" s="26"/>
      <c r="E82" s="26"/>
      <c r="F82" s="50"/>
      <c r="G82" s="26"/>
      <c r="H82" s="26"/>
      <c r="I82" s="50"/>
      <c r="J82" s="26"/>
      <c r="K82" s="26"/>
      <c r="L82" s="8"/>
      <c r="R82" s="115"/>
      <c r="S82" s="115"/>
      <c r="T82" s="115"/>
      <c r="U82" s="115"/>
    </row>
    <row r="83" spans="1:21" ht="12.75">
      <c r="A83" s="2"/>
      <c r="B83" s="392" t="s">
        <v>111</v>
      </c>
      <c r="C83" s="392" t="s">
        <v>5</v>
      </c>
      <c r="D83" s="393"/>
      <c r="E83" s="394"/>
      <c r="F83" s="54"/>
      <c r="G83" s="393"/>
      <c r="H83" s="394"/>
      <c r="I83" s="54"/>
      <c r="J83" s="393"/>
      <c r="K83" s="394"/>
      <c r="L83" s="8"/>
      <c r="R83" s="115"/>
      <c r="S83" s="115"/>
      <c r="T83" s="115"/>
      <c r="U83" s="115"/>
    </row>
    <row r="84" spans="1:21" ht="4.5" customHeight="1">
      <c r="A84" s="2"/>
      <c r="B84" s="420"/>
      <c r="C84" s="420"/>
      <c r="D84" s="396"/>
      <c r="E84" s="396"/>
      <c r="F84" s="140"/>
      <c r="G84" s="396">
        <f>IF(AND(G81&lt;&gt;"",VLOOKUP(G96,Datenblatt!$F$169:$I$173,3,FALSE)=1),"Direktionsanfrage !","")</f>
      </c>
      <c r="H84" s="396"/>
      <c r="I84" s="140"/>
      <c r="J84" s="396">
        <f>IF(AND(J81&lt;&gt;"",VLOOKUP(J96,Datenblatt!$F$169:$I$173,4,FALSE)=1),"Direktionsanfrage !","")</f>
      </c>
      <c r="K84" s="396"/>
      <c r="L84" s="8"/>
      <c r="R84" s="115"/>
      <c r="S84" s="115"/>
      <c r="T84" s="115"/>
      <c r="U84" s="115"/>
    </row>
    <row r="85" spans="1:21" ht="9" customHeight="1">
      <c r="A85" s="2"/>
      <c r="B85" s="420"/>
      <c r="C85" s="420"/>
      <c r="D85" s="396"/>
      <c r="E85" s="396"/>
      <c r="F85" s="140"/>
      <c r="G85" s="396"/>
      <c r="H85" s="396"/>
      <c r="I85" s="140"/>
      <c r="J85" s="396"/>
      <c r="K85" s="396"/>
      <c r="L85" s="8"/>
      <c r="R85" s="115"/>
      <c r="S85" s="115"/>
      <c r="T85" s="115"/>
      <c r="U85" s="115"/>
    </row>
    <row r="86" spans="1:21" ht="15.75" thickBot="1">
      <c r="A86" s="2"/>
      <c r="B86" s="391" t="s">
        <v>350</v>
      </c>
      <c r="C86" s="391"/>
      <c r="D86" s="123"/>
      <c r="E86" s="72" t="s">
        <v>344</v>
      </c>
      <c r="F86" s="238"/>
      <c r="G86" s="395" t="s">
        <v>31</v>
      </c>
      <c r="H86" s="395"/>
      <c r="I86" s="68"/>
      <c r="J86" s="436">
        <f>SUM(D83:J83)</f>
        <v>0</v>
      </c>
      <c r="K86" s="437"/>
      <c r="L86" s="8"/>
      <c r="R86" s="115"/>
      <c r="S86" s="115"/>
      <c r="T86" s="115"/>
      <c r="U86" s="115"/>
    </row>
    <row r="87" spans="1:12" ht="4.5" customHeight="1" thickTop="1">
      <c r="A87" s="2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8"/>
    </row>
    <row r="88" spans="1:12" ht="1.5" customHeight="1">
      <c r="A88" s="2"/>
      <c r="B88" s="4"/>
      <c r="C88" s="4"/>
      <c r="D88" s="4"/>
      <c r="E88" s="4"/>
      <c r="F88" s="4"/>
      <c r="G88" s="4"/>
      <c r="H88" s="4"/>
      <c r="I88" s="4"/>
      <c r="J88" s="4"/>
      <c r="K88" s="4"/>
      <c r="L88" s="8"/>
    </row>
    <row r="89" spans="1:12" ht="7.5" customHeight="1">
      <c r="A89" s="343"/>
      <c r="B89" s="344"/>
      <c r="C89" s="344"/>
      <c r="D89" s="344"/>
      <c r="E89" s="344"/>
      <c r="F89" s="344"/>
      <c r="G89" s="344"/>
      <c r="H89" s="344"/>
      <c r="I89" s="344"/>
      <c r="J89" s="344"/>
      <c r="K89" s="344"/>
      <c r="L89" s="8"/>
    </row>
    <row r="90" spans="1:12" ht="18.75" customHeight="1" thickBot="1">
      <c r="A90" s="138"/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8"/>
    </row>
    <row r="91" spans="1:17" ht="12.75" customHeight="1" thickBot="1" thickTop="1">
      <c r="A91" s="2"/>
      <c r="B91" s="237" t="s">
        <v>76</v>
      </c>
      <c r="C91" s="237"/>
      <c r="D91" s="423" t="s">
        <v>309</v>
      </c>
      <c r="E91" s="423"/>
      <c r="F91" s="252"/>
      <c r="G91" s="424" t="s">
        <v>182</v>
      </c>
      <c r="H91" s="425"/>
      <c r="I91" s="127"/>
      <c r="J91" s="300" t="s">
        <v>344</v>
      </c>
      <c r="K91" s="127"/>
      <c r="L91" s="8"/>
      <c r="N91" s="18"/>
      <c r="O91" s="13"/>
      <c r="P91" s="13"/>
      <c r="Q91" s="13"/>
    </row>
    <row r="92" spans="1:18" ht="6" customHeight="1" thickTop="1">
      <c r="A92" s="2"/>
      <c r="B92" s="26"/>
      <c r="C92" s="26"/>
      <c r="D92" s="360"/>
      <c r="E92" s="360"/>
      <c r="F92" s="206"/>
      <c r="G92" s="360"/>
      <c r="H92" s="360"/>
      <c r="I92" s="206"/>
      <c r="J92" s="360"/>
      <c r="K92" s="360"/>
      <c r="L92" s="8"/>
      <c r="N92" s="11"/>
      <c r="O92" s="11"/>
      <c r="P92" s="11"/>
      <c r="Q92" s="11"/>
      <c r="R92" s="42"/>
    </row>
    <row r="93" spans="1:17" s="232" customFormat="1" ht="10.5" customHeight="1">
      <c r="A93" s="230"/>
      <c r="B93" s="426" t="s">
        <v>353</v>
      </c>
      <c r="C93" s="426"/>
      <c r="D93" s="273" t="s">
        <v>329</v>
      </c>
      <c r="E93" s="243">
        <f>IF(ISBLANK(D74),"","OKZ "&amp;VLOOKUP(D74,Datenblatt!C167:D240,2,FALSE))</f>
      </c>
      <c r="F93" s="251"/>
      <c r="G93" s="273" t="s">
        <v>330</v>
      </c>
      <c r="H93" s="243">
        <f>IF(ISBLANK(G74),"","OKZ "&amp;VLOOKUP(G74,Datenblatt!C167:D240,2,FALSE))</f>
      </c>
      <c r="I93" s="251"/>
      <c r="J93" s="273" t="s">
        <v>331</v>
      </c>
      <c r="K93" s="243">
        <f>IF(ISBLANK(J74),"","OKZ "&amp;VLOOKUP(J74,Datenblatt!C167:D240,2,FALSE))</f>
      </c>
      <c r="L93" s="231"/>
      <c r="N93" s="233"/>
      <c r="O93" s="233"/>
      <c r="P93" s="233"/>
      <c r="Q93" s="233"/>
    </row>
    <row r="94" spans="1:18" ht="1.5" customHeight="1">
      <c r="A94" s="2"/>
      <c r="B94" s="229"/>
      <c r="C94" s="229"/>
      <c r="D94" s="229"/>
      <c r="E94" s="229"/>
      <c r="F94" s="229"/>
      <c r="G94" s="229"/>
      <c r="H94" s="229"/>
      <c r="I94" s="229"/>
      <c r="J94" s="229"/>
      <c r="K94" s="229"/>
      <c r="L94" s="8"/>
      <c r="N94" s="11"/>
      <c r="O94" s="11"/>
      <c r="P94" s="11"/>
      <c r="Q94" s="11"/>
      <c r="R94" s="42"/>
    </row>
    <row r="95" spans="1:18" ht="1.5" customHeight="1">
      <c r="A95" s="2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8"/>
      <c r="N95" s="11"/>
      <c r="O95" s="11"/>
      <c r="P95" s="11"/>
      <c r="Q95" s="11"/>
      <c r="R95" s="42"/>
    </row>
    <row r="96" spans="1:18" ht="10.5" customHeight="1">
      <c r="A96" s="2"/>
      <c r="B96" s="441" t="s">
        <v>302</v>
      </c>
      <c r="C96" s="442"/>
      <c r="D96" s="449" t="s">
        <v>108</v>
      </c>
      <c r="E96" s="440"/>
      <c r="F96" s="247"/>
      <c r="G96" s="439" t="s">
        <v>188</v>
      </c>
      <c r="H96" s="440"/>
      <c r="I96" s="247"/>
      <c r="J96" s="439" t="s">
        <v>109</v>
      </c>
      <c r="K96" s="440"/>
      <c r="L96" s="8"/>
      <c r="N96" s="11"/>
      <c r="O96" s="11"/>
      <c r="P96" s="11"/>
      <c r="Q96" s="11"/>
      <c r="R96" s="42"/>
    </row>
    <row r="97" spans="1:18" ht="4.5" customHeight="1">
      <c r="A97" s="2"/>
      <c r="B97" s="234"/>
      <c r="C97" s="234"/>
      <c r="D97" s="26"/>
      <c r="E97" s="26"/>
      <c r="F97" s="248"/>
      <c r="G97" s="26"/>
      <c r="H97" s="26"/>
      <c r="I97" s="248"/>
      <c r="J97" s="26"/>
      <c r="K97" s="26"/>
      <c r="L97" s="8"/>
      <c r="N97" s="11"/>
      <c r="O97" s="11"/>
      <c r="P97" s="11"/>
      <c r="Q97" s="11"/>
      <c r="R97" s="42"/>
    </row>
    <row r="98" spans="1:18" ht="10.5" customHeight="1">
      <c r="A98" s="2"/>
      <c r="B98" s="421" t="s">
        <v>304</v>
      </c>
      <c r="C98" s="422"/>
      <c r="D98" s="26"/>
      <c r="E98" s="255">
        <f>IF(AND(D72&lt;&gt;"Bitte wählen",D96&lt;&gt;"Bitte wählen"),VLOOKUP(D72&amp;G91&amp;D96,Datenblatt!$A$106:$E$147,5,FALSE),"")</f>
      </c>
      <c r="F98" s="248"/>
      <c r="G98" s="26"/>
      <c r="H98" s="255">
        <f>IF(AND(G72&lt;&gt;"Bitte wählen",G96&lt;&gt;"Bitte wählen"),VLOOKUP(G72&amp;G91&amp;G96,Datenblatt!$A$106:$E$147,5,FALSE),"")</f>
      </c>
      <c r="I98" s="248"/>
      <c r="J98" s="26"/>
      <c r="K98" s="255">
        <f>IF(AND(J72&lt;&gt;"Bitte wählen",J96&lt;&gt;"Bitte wählen"),VLOOKUP(J72&amp;G91&amp;J96,Datenblatt!$A$106:$E$147,5,FALSE),"")</f>
      </c>
      <c r="L98" s="8"/>
      <c r="N98" s="11"/>
      <c r="O98" s="11"/>
      <c r="P98" s="11"/>
      <c r="Q98" s="11"/>
      <c r="R98" s="42"/>
    </row>
    <row r="99" spans="1:18" ht="4.5" customHeight="1">
      <c r="A99" s="2"/>
      <c r="B99" s="234"/>
      <c r="C99" s="234"/>
      <c r="D99" s="26"/>
      <c r="E99" s="26"/>
      <c r="F99" s="248"/>
      <c r="G99" s="26"/>
      <c r="H99" s="26"/>
      <c r="I99" s="248"/>
      <c r="J99" s="26"/>
      <c r="K99" s="26"/>
      <c r="L99" s="8"/>
      <c r="N99" s="11"/>
      <c r="O99" s="11"/>
      <c r="P99" s="11"/>
      <c r="Q99" s="11"/>
      <c r="R99" s="42"/>
    </row>
    <row r="100" spans="1:18" ht="10.5" customHeight="1">
      <c r="A100" s="2"/>
      <c r="B100" s="421" t="s">
        <v>305</v>
      </c>
      <c r="C100" s="422"/>
      <c r="D100" s="26"/>
      <c r="E100" s="256">
        <f>IF(AND(D81&lt;&gt;"",D84&lt;&gt;"Direktionsanfrage !",D72&lt;&gt;"Bitte wählen",D96&lt;&gt;"Bitte wählen"),VLOOKUP(D72&amp;G91&amp;D96,Datenblatt!A106:E147,4,FALSE),"")</f>
      </c>
      <c r="F100" s="248"/>
      <c r="G100" s="26"/>
      <c r="H100" s="256">
        <f>IF(AND(G84&lt;&gt;"Direktionsanfrage !",G72&lt;&gt;"Bitte wählen",G96&lt;&gt;"Bitte wählen"),VLOOKUP(G72&amp;G91&amp;G96,Datenblatt!A106:E147,4,FALSE),"")</f>
      </c>
      <c r="I100" s="248"/>
      <c r="J100" s="26"/>
      <c r="K100" s="256">
        <f>IF(AND(J84&lt;&gt;"Direktionsanfrage !",J72&lt;&gt;"Bitte wählen",J96&lt;&gt;"Bitte wählen"),VLOOKUP(J72&amp;G91&amp;J96,Datenblatt!A106:E147,4,FALSE),"")</f>
      </c>
      <c r="L100" s="8"/>
      <c r="N100" s="11"/>
      <c r="O100" s="11"/>
      <c r="P100" s="11"/>
      <c r="Q100" s="11"/>
      <c r="R100" s="42"/>
    </row>
    <row r="101" spans="1:18" ht="4.5" customHeight="1">
      <c r="A101" s="2"/>
      <c r="B101" s="234"/>
      <c r="C101" s="234"/>
      <c r="D101" s="26"/>
      <c r="E101" s="26"/>
      <c r="F101" s="248"/>
      <c r="G101" s="26"/>
      <c r="H101" s="26"/>
      <c r="I101" s="248"/>
      <c r="J101" s="26"/>
      <c r="K101" s="26"/>
      <c r="L101" s="8"/>
      <c r="N101" s="11"/>
      <c r="O101" s="11"/>
      <c r="P101" s="11"/>
      <c r="Q101" s="11"/>
      <c r="R101" s="42"/>
    </row>
    <row r="102" spans="1:18" ht="10.5" customHeight="1" thickBot="1">
      <c r="A102" s="2"/>
      <c r="B102" s="421" t="s">
        <v>303</v>
      </c>
      <c r="C102" s="422"/>
      <c r="D102" s="26"/>
      <c r="E102" s="313">
        <f>IF(AND(E100&lt;&gt;"",D83&lt;&gt;"",D96&lt;&gt;"Bitte wählen"),ROUND(E100*D83/1000,1),0)</f>
        <v>0</v>
      </c>
      <c r="F102" s="314"/>
      <c r="G102" s="305"/>
      <c r="H102" s="313">
        <f>IF(AND(H100&lt;&gt;"",G83&lt;&gt;"",G96&lt;&gt;"Bitte wählen"),ROUND(H100*G83/1000,1),0)</f>
        <v>0</v>
      </c>
      <c r="I102" s="314"/>
      <c r="J102" s="305"/>
      <c r="K102" s="313">
        <f>IF(AND(K100&lt;&gt;"",J83&lt;&gt;"",J96&lt;&gt;"Bitte wählen"),ROUND(K100*J83/1000,1),0)</f>
        <v>0</v>
      </c>
      <c r="L102" s="8"/>
      <c r="N102" s="11"/>
      <c r="O102" s="11"/>
      <c r="P102" s="11"/>
      <c r="Q102" s="11"/>
      <c r="R102" s="42"/>
    </row>
    <row r="103" spans="1:18" ht="4.5" customHeight="1" thickTop="1">
      <c r="A103" s="2"/>
      <c r="B103" s="214"/>
      <c r="C103" s="214"/>
      <c r="D103" s="26"/>
      <c r="E103" s="26"/>
      <c r="F103" s="248"/>
      <c r="G103" s="26"/>
      <c r="H103" s="26"/>
      <c r="I103" s="248"/>
      <c r="J103" s="26"/>
      <c r="K103" s="26"/>
      <c r="L103" s="8"/>
      <c r="N103" s="11"/>
      <c r="O103" s="11"/>
      <c r="P103" s="11"/>
      <c r="Q103" s="11"/>
      <c r="R103" s="42"/>
    </row>
    <row r="104" spans="1:18" ht="10.5" customHeight="1">
      <c r="A104" s="2"/>
      <c r="B104" s="403" t="s">
        <v>310</v>
      </c>
      <c r="C104" s="403"/>
      <c r="D104" s="229"/>
      <c r="E104" s="229"/>
      <c r="F104" s="249"/>
      <c r="G104" s="229"/>
      <c r="H104" s="229"/>
      <c r="I104" s="249"/>
      <c r="J104" s="229"/>
      <c r="K104" s="229"/>
      <c r="L104" s="8"/>
      <c r="N104" s="11"/>
      <c r="O104" s="11"/>
      <c r="P104" s="11"/>
      <c r="Q104" s="11"/>
      <c r="R104" s="42"/>
    </row>
    <row r="105" spans="1:18" ht="10.5" customHeight="1">
      <c r="A105" s="2"/>
      <c r="B105" s="244">
        <v>0.15</v>
      </c>
      <c r="C105" s="26"/>
      <c r="D105" s="26"/>
      <c r="E105" s="10">
        <f>IF(AND(E102&lt;&gt;"",Datenblatt!C49=TRUE),ROUND(E102*$B$105,2),0)</f>
        <v>0</v>
      </c>
      <c r="F105" s="248"/>
      <c r="G105" s="26"/>
      <c r="H105" s="10">
        <f>IF(AND(H102&lt;&gt;"",Datenblatt!E49=TRUE),ROUND(H102*$B$105,2),0)</f>
        <v>0</v>
      </c>
      <c r="I105" s="248"/>
      <c r="J105" s="26"/>
      <c r="K105" s="10">
        <f>IF(AND(K102&lt;&gt;"",Datenblatt!G49=TRUE),ROUND(K102*$B$105,2),0)</f>
        <v>0</v>
      </c>
      <c r="L105" s="8"/>
      <c r="N105" s="11"/>
      <c r="O105" s="11"/>
      <c r="P105" s="11"/>
      <c r="Q105" s="11"/>
      <c r="R105" s="42"/>
    </row>
    <row r="106" spans="1:18" ht="4.5" customHeight="1">
      <c r="A106" s="2"/>
      <c r="B106" s="234"/>
      <c r="C106" s="234"/>
      <c r="D106" s="26"/>
      <c r="E106" s="26"/>
      <c r="F106" s="248"/>
      <c r="G106" s="26"/>
      <c r="H106" s="26"/>
      <c r="I106" s="248"/>
      <c r="J106" s="26"/>
      <c r="K106" s="26"/>
      <c r="L106" s="8"/>
      <c r="N106" s="11"/>
      <c r="O106" s="11"/>
      <c r="P106" s="11"/>
      <c r="Q106" s="11"/>
      <c r="R106" s="42"/>
    </row>
    <row r="107" spans="1:18" ht="10.5" customHeight="1">
      <c r="A107" s="2"/>
      <c r="B107" s="403" t="s">
        <v>311</v>
      </c>
      <c r="C107" s="403"/>
      <c r="D107" s="229"/>
      <c r="E107" s="229"/>
      <c r="F107" s="249"/>
      <c r="G107" s="229"/>
      <c r="H107" s="229"/>
      <c r="I107" s="249"/>
      <c r="J107" s="229"/>
      <c r="K107" s="229"/>
      <c r="L107" s="8"/>
      <c r="N107" s="11"/>
      <c r="O107" s="11"/>
      <c r="P107" s="11"/>
      <c r="Q107" s="11"/>
      <c r="R107" s="42"/>
    </row>
    <row r="108" spans="1:18" ht="10.5" customHeight="1">
      <c r="A108" s="2"/>
      <c r="B108" s="244">
        <v>-0.1</v>
      </c>
      <c r="C108" s="341" t="s">
        <v>5</v>
      </c>
      <c r="D108" s="342"/>
      <c r="E108" s="10">
        <f ca="1">IF(YEAR(TODAY())-D81&lt;2,IF(Datenblatt!C51=TRUE,ROUND(Datenblatt!D50*$B$108,2),0),0)</f>
        <v>0</v>
      </c>
      <c r="F108" s="248"/>
      <c r="G108" s="26"/>
      <c r="H108" s="10">
        <f ca="1">IF(YEAR(TODAY())-G81&lt;2,IF(Datenblatt!E51=TRUE,ROUND(Datenblatt!F50*$B$108,2),0),0)</f>
        <v>0</v>
      </c>
      <c r="I108" s="248"/>
      <c r="J108" s="26"/>
      <c r="K108" s="10">
        <f ca="1">IF(YEAR(TODAY())-J81&lt;2,IF(Datenblatt!G51=TRUE,ROUND(Datenblatt!H50*$B$108,2),0),0)</f>
        <v>0</v>
      </c>
      <c r="L108" s="8"/>
      <c r="N108" s="11"/>
      <c r="O108" s="11"/>
      <c r="P108" s="11"/>
      <c r="Q108" s="11"/>
      <c r="R108" s="42"/>
    </row>
    <row r="109" spans="1:18" ht="4.5" customHeight="1">
      <c r="A109" s="2"/>
      <c r="B109" s="234"/>
      <c r="C109" s="234"/>
      <c r="D109" s="26"/>
      <c r="E109" s="26"/>
      <c r="F109" s="248"/>
      <c r="G109" s="26"/>
      <c r="H109" s="26"/>
      <c r="I109" s="248"/>
      <c r="J109" s="26"/>
      <c r="K109" s="26"/>
      <c r="L109" s="8"/>
      <c r="N109" s="11"/>
      <c r="O109" s="11"/>
      <c r="P109" s="11"/>
      <c r="Q109" s="11"/>
      <c r="R109" s="42"/>
    </row>
    <row r="110" spans="1:18" ht="10.5" customHeight="1">
      <c r="A110" s="2"/>
      <c r="B110" s="403" t="s">
        <v>312</v>
      </c>
      <c r="C110" s="403"/>
      <c r="D110" s="229"/>
      <c r="E110" s="229"/>
      <c r="F110" s="249"/>
      <c r="G110" s="229"/>
      <c r="H110" s="229"/>
      <c r="I110" s="249"/>
      <c r="J110" s="229"/>
      <c r="K110" s="229"/>
      <c r="L110" s="8"/>
      <c r="N110" s="11"/>
      <c r="O110" s="11"/>
      <c r="P110" s="11"/>
      <c r="Q110" s="11"/>
      <c r="R110" s="42"/>
    </row>
    <row r="111" spans="1:18" ht="10.5" customHeight="1">
      <c r="A111" s="2"/>
      <c r="B111" s="244">
        <v>0.1</v>
      </c>
      <c r="C111" s="26"/>
      <c r="D111" s="26"/>
      <c r="E111" s="10">
        <f>IF(Datenblatt!C53=TRUE,MAX(Datenblatt!B53,ROUND(Datenblatt!D52*$B$111,2)),0)</f>
        <v>0</v>
      </c>
      <c r="F111" s="248"/>
      <c r="G111" s="26"/>
      <c r="H111" s="10">
        <f>IF(Datenblatt!E53=TRUE,MAX(Datenblatt!B53,ROUND(Datenblatt!F52*$B$111,2)),0)</f>
        <v>0</v>
      </c>
      <c r="I111" s="248"/>
      <c r="J111" s="26"/>
      <c r="K111" s="10">
        <f>IF(Datenblatt!G53=TRUE,MAX(Datenblatt!B53,ROUND(Datenblatt!H52*$B$111,2)),0)</f>
        <v>0</v>
      </c>
      <c r="L111" s="8"/>
      <c r="N111" s="11"/>
      <c r="O111" s="11"/>
      <c r="P111" s="18"/>
      <c r="Q111" s="11"/>
      <c r="R111" s="42"/>
    </row>
    <row r="112" spans="1:18" ht="4.5" customHeight="1">
      <c r="A112" s="2"/>
      <c r="B112" s="245"/>
      <c r="C112" s="245"/>
      <c r="D112" s="246"/>
      <c r="E112" s="246"/>
      <c r="F112" s="248"/>
      <c r="G112" s="246"/>
      <c r="H112" s="246"/>
      <c r="I112" s="248"/>
      <c r="J112" s="246"/>
      <c r="K112" s="246"/>
      <c r="L112" s="8"/>
      <c r="N112" s="11"/>
      <c r="O112" s="11"/>
      <c r="P112" s="11"/>
      <c r="Q112" s="11"/>
      <c r="R112" s="42"/>
    </row>
    <row r="113" spans="1:18" ht="10.5" customHeight="1">
      <c r="A113" s="2"/>
      <c r="B113" s="403" t="s">
        <v>313</v>
      </c>
      <c r="C113" s="403"/>
      <c r="D113" s="229"/>
      <c r="E113" s="229"/>
      <c r="F113" s="249"/>
      <c r="G113" s="229"/>
      <c r="H113" s="229"/>
      <c r="I113" s="249"/>
      <c r="J113" s="229"/>
      <c r="K113" s="229"/>
      <c r="L113" s="8"/>
      <c r="N113" s="11"/>
      <c r="O113" s="11"/>
      <c r="P113" s="11"/>
      <c r="Q113" s="11"/>
      <c r="R113" s="42"/>
    </row>
    <row r="114" spans="1:18" ht="10.5" customHeight="1">
      <c r="A114" s="2"/>
      <c r="B114" s="244">
        <v>0.15</v>
      </c>
      <c r="C114" s="26"/>
      <c r="D114" s="26"/>
      <c r="E114" s="10">
        <f>IF(Datenblatt!C55=TRUE,MAX(Datenblatt!B55,ROUND(Datenblatt!D54*$B$114,2)),0)</f>
        <v>0</v>
      </c>
      <c r="F114" s="248"/>
      <c r="G114" s="26"/>
      <c r="H114" s="10">
        <f>IF(Datenblatt!E55=TRUE,MAX(Datenblatt!B55,ROUND(Datenblatt!F54*$B$114,2)),0)</f>
        <v>0</v>
      </c>
      <c r="I114" s="248"/>
      <c r="J114" s="26"/>
      <c r="K114" s="10">
        <f>IF(Datenblatt!G55=TRUE,MAX(Datenblatt!B55,ROUND(Datenblatt!H54*$B$114,2)),0)</f>
        <v>0</v>
      </c>
      <c r="L114" s="8"/>
      <c r="N114" s="11"/>
      <c r="O114" s="11"/>
      <c r="P114" s="11"/>
      <c r="Q114" s="11"/>
      <c r="R114" s="42"/>
    </row>
    <row r="115" spans="1:18" ht="4.5" customHeight="1">
      <c r="A115" s="2"/>
      <c r="B115" s="234"/>
      <c r="C115" s="234"/>
      <c r="D115" s="26"/>
      <c r="E115" s="26"/>
      <c r="F115" s="248"/>
      <c r="G115" s="26"/>
      <c r="H115" s="26"/>
      <c r="I115" s="248"/>
      <c r="J115" s="26"/>
      <c r="K115" s="26"/>
      <c r="L115" s="8"/>
      <c r="N115" s="11"/>
      <c r="O115" s="11"/>
      <c r="P115" s="11"/>
      <c r="Q115" s="11"/>
      <c r="R115" s="42"/>
    </row>
    <row r="116" spans="1:18" ht="10.5" customHeight="1">
      <c r="A116" s="2"/>
      <c r="B116" s="403" t="s">
        <v>314</v>
      </c>
      <c r="C116" s="403"/>
      <c r="D116" s="229"/>
      <c r="E116" s="229"/>
      <c r="F116" s="249"/>
      <c r="G116" s="229"/>
      <c r="H116" s="229"/>
      <c r="I116" s="249"/>
      <c r="J116" s="229"/>
      <c r="K116" s="229"/>
      <c r="L116" s="8"/>
      <c r="N116" s="11"/>
      <c r="O116" s="11"/>
      <c r="P116" s="11"/>
      <c r="Q116" s="11"/>
      <c r="R116" s="42"/>
    </row>
    <row r="117" spans="1:18" ht="10.5" customHeight="1">
      <c r="A117" s="2"/>
      <c r="B117" s="244">
        <v>-0.1</v>
      </c>
      <c r="C117" s="26"/>
      <c r="D117" s="26"/>
      <c r="E117" s="10">
        <f>IF(Datenblatt!C57=TRUE,ROUND(Datenblatt!D56*$B$117,2),0)</f>
        <v>0</v>
      </c>
      <c r="F117" s="248"/>
      <c r="G117" s="26"/>
      <c r="H117" s="10">
        <f>IF(Datenblatt!E57=TRUE,ROUND(Datenblatt!F56*$B$117,2),0)</f>
        <v>0</v>
      </c>
      <c r="I117" s="248"/>
      <c r="J117" s="26"/>
      <c r="K117" s="10">
        <f>IF(Datenblatt!G57=TRUE,ROUND(Datenblatt!H56*$B$117,2),0)</f>
        <v>0</v>
      </c>
      <c r="L117" s="8"/>
      <c r="N117" s="11"/>
      <c r="O117" s="11"/>
      <c r="P117" s="11"/>
      <c r="Q117" s="11"/>
      <c r="R117" s="42"/>
    </row>
    <row r="118" spans="1:18" ht="4.5" customHeight="1">
      <c r="A118" s="2"/>
      <c r="B118" s="234"/>
      <c r="C118" s="234"/>
      <c r="D118" s="26"/>
      <c r="E118" s="26"/>
      <c r="F118" s="248"/>
      <c r="G118" s="26"/>
      <c r="H118" s="26"/>
      <c r="I118" s="248"/>
      <c r="J118" s="26"/>
      <c r="K118" s="26"/>
      <c r="L118" s="8"/>
      <c r="N118" s="11"/>
      <c r="O118" s="11"/>
      <c r="P118" s="11"/>
      <c r="Q118" s="11"/>
      <c r="R118" s="42"/>
    </row>
    <row r="119" spans="1:18" ht="10.5" customHeight="1">
      <c r="A119" s="2"/>
      <c r="B119" s="404" t="s">
        <v>345</v>
      </c>
      <c r="C119" s="404"/>
      <c r="D119" s="310" t="s">
        <v>378</v>
      </c>
      <c r="E119" s="236"/>
      <c r="F119" s="250"/>
      <c r="G119" s="308" t="s">
        <v>378</v>
      </c>
      <c r="H119" s="236"/>
      <c r="I119" s="250"/>
      <c r="J119" s="308" t="s">
        <v>378</v>
      </c>
      <c r="K119" s="26"/>
      <c r="L119" s="8"/>
      <c r="N119" s="11"/>
      <c r="O119" s="11"/>
      <c r="P119" s="11"/>
      <c r="Q119" s="11"/>
      <c r="R119" s="42"/>
    </row>
    <row r="120" spans="1:18" ht="10.5" customHeight="1">
      <c r="A120" s="2"/>
      <c r="B120" s="26"/>
      <c r="C120" s="26"/>
      <c r="D120" s="307">
        <f>IF(D119="Standard",0,IF(D119="halbiert",15%,-10%))</f>
        <v>0</v>
      </c>
      <c r="E120" s="10">
        <f>IF(E102&lt;&gt;"",D120*Datenblatt!D58,0)</f>
        <v>0</v>
      </c>
      <c r="F120" s="248"/>
      <c r="G120" s="309">
        <f>IF(G119="Standard",0,IF(G119="halbiert",15%,-10%))</f>
        <v>0</v>
      </c>
      <c r="H120" s="10">
        <f>IF(H102&lt;&gt;"",G120*Datenblatt!F58,0)</f>
        <v>0</v>
      </c>
      <c r="I120" s="248"/>
      <c r="J120" s="309">
        <f>IF(J119="Standard",0,IF(J119="halbiert",15%,-10%))</f>
        <v>0</v>
      </c>
      <c r="K120" s="10">
        <f>IF(K102&lt;&gt;"",J120*Datenblatt!H58,0)</f>
        <v>0</v>
      </c>
      <c r="L120" s="8"/>
      <c r="N120" s="11"/>
      <c r="O120" s="11"/>
      <c r="P120" s="11"/>
      <c r="Q120" s="11"/>
      <c r="R120" s="42"/>
    </row>
    <row r="121" spans="1:17" ht="4.5" customHeight="1">
      <c r="A121" s="2"/>
      <c r="B121" s="25" t="s">
        <v>5</v>
      </c>
      <c r="C121" s="30"/>
      <c r="D121" s="47"/>
      <c r="E121" s="25"/>
      <c r="F121" s="25"/>
      <c r="G121" s="30"/>
      <c r="H121" s="50"/>
      <c r="I121" s="25"/>
      <c r="J121" s="53"/>
      <c r="K121" s="37"/>
      <c r="L121" s="8"/>
      <c r="N121" s="11"/>
      <c r="O121" s="11"/>
      <c r="P121" s="11"/>
      <c r="Q121" s="11"/>
    </row>
    <row r="122" spans="1:17" ht="10.5" customHeight="1" thickBot="1">
      <c r="A122" s="2"/>
      <c r="B122" s="25"/>
      <c r="C122" s="30"/>
      <c r="D122" s="47"/>
      <c r="E122" s="25"/>
      <c r="F122" s="25"/>
      <c r="G122" s="400" t="s">
        <v>333</v>
      </c>
      <c r="H122" s="401"/>
      <c r="I122" s="401"/>
      <c r="J122" s="402"/>
      <c r="K122" s="198">
        <f>IF(AND(D84&lt;&gt;"Direktionsanfrage !",G84&lt;&gt;"Direktionsanfrage !",J84&lt;&gt;"Direktionsanfrage !"),Datenblatt!N67,0)</f>
        <v>250</v>
      </c>
      <c r="L122" s="8"/>
      <c r="N122" s="16"/>
      <c r="O122" s="11"/>
      <c r="P122" s="11"/>
      <c r="Q122" s="11"/>
    </row>
    <row r="123" spans="1:17" ht="4.5" customHeight="1" thickTop="1">
      <c r="A123" s="2"/>
      <c r="B123" s="25"/>
      <c r="C123" s="30"/>
      <c r="D123" s="47"/>
      <c r="E123" s="25"/>
      <c r="F123" s="25"/>
      <c r="G123" s="30"/>
      <c r="H123" s="50"/>
      <c r="I123" s="25"/>
      <c r="J123" s="53"/>
      <c r="K123" s="37"/>
      <c r="L123" s="8"/>
      <c r="N123" s="11"/>
      <c r="O123" s="11"/>
      <c r="P123" s="11"/>
      <c r="Q123" s="11"/>
    </row>
    <row r="124" spans="1:17" ht="10.5" customHeight="1">
      <c r="A124" s="2"/>
      <c r="B124" s="25"/>
      <c r="C124" s="260"/>
      <c r="D124" s="260"/>
      <c r="E124" s="260"/>
      <c r="F124" s="269"/>
      <c r="G124" s="338" t="s">
        <v>103</v>
      </c>
      <c r="H124" s="372"/>
      <c r="I124" s="38"/>
      <c r="J124" s="41">
        <f>IF(D27="Deutschland &amp; Anrainerländer",0.15,0)</f>
        <v>0</v>
      </c>
      <c r="K124" s="291">
        <f>ROUND(K122*J124,2)</f>
        <v>0</v>
      </c>
      <c r="L124" s="8"/>
      <c r="M124" s="335"/>
      <c r="N124" s="16"/>
      <c r="O124" s="11"/>
      <c r="P124" s="11"/>
      <c r="Q124" s="11"/>
    </row>
    <row r="125" spans="1:17" ht="6.75" customHeight="1">
      <c r="A125" s="2"/>
      <c r="B125" s="25"/>
      <c r="C125" s="258"/>
      <c r="D125" s="38"/>
      <c r="E125" s="38"/>
      <c r="F125" s="38"/>
      <c r="G125" s="32"/>
      <c r="H125" s="259"/>
      <c r="I125" s="38"/>
      <c r="J125" s="259"/>
      <c r="K125" s="37"/>
      <c r="L125" s="8"/>
      <c r="N125" s="11"/>
      <c r="O125" s="11"/>
      <c r="P125" s="11"/>
      <c r="Q125" s="11"/>
    </row>
    <row r="126" spans="1:17" ht="10.5" customHeight="1">
      <c r="A126" s="2"/>
      <c r="B126" s="25"/>
      <c r="C126" s="258"/>
      <c r="D126" s="38"/>
      <c r="E126" s="38"/>
      <c r="F126" s="38"/>
      <c r="G126" s="338" t="s">
        <v>91</v>
      </c>
      <c r="H126" s="372"/>
      <c r="I126" s="38"/>
      <c r="J126" s="41">
        <f>IF(Datenblatt!G70=FALSE,0,0.15)</f>
        <v>0</v>
      </c>
      <c r="K126" s="291">
        <f>ROUND(Datenblatt!H68*J126,2)</f>
        <v>0</v>
      </c>
      <c r="L126" s="8"/>
      <c r="M126" s="336"/>
      <c r="N126" s="16"/>
      <c r="O126" s="11"/>
      <c r="P126" s="16"/>
      <c r="Q126" s="11"/>
    </row>
    <row r="127" spans="1:12" ht="4.5" customHeight="1">
      <c r="A127" s="2"/>
      <c r="B127" s="25"/>
      <c r="C127" s="30"/>
      <c r="D127" s="260"/>
      <c r="E127" s="25"/>
      <c r="F127" s="25"/>
      <c r="G127" s="30"/>
      <c r="H127" s="260"/>
      <c r="I127" s="25"/>
      <c r="J127" s="260"/>
      <c r="K127" s="37"/>
      <c r="L127" s="8"/>
    </row>
    <row r="128" spans="1:17" ht="10.5" customHeight="1">
      <c r="A128" s="2"/>
      <c r="B128" s="25"/>
      <c r="C128" s="268"/>
      <c r="D128" s="399" t="s">
        <v>351</v>
      </c>
      <c r="E128" s="399"/>
      <c r="F128" s="269"/>
      <c r="G128" s="397" t="s">
        <v>375</v>
      </c>
      <c r="H128" s="398"/>
      <c r="I128" s="269"/>
      <c r="J128" s="297">
        <v>0.15</v>
      </c>
      <c r="K128" s="291">
        <f>IF(Datenblatt!G72=TRUE,ROUND(Datenblatt!H70*Antragsrechner!J128,2),0)</f>
        <v>0</v>
      </c>
      <c r="L128" s="8"/>
      <c r="M128" s="335"/>
      <c r="N128" s="11"/>
      <c r="O128" s="11"/>
      <c r="P128" s="11"/>
      <c r="Q128" s="11"/>
    </row>
    <row r="129" spans="1:12" ht="4.5" customHeight="1">
      <c r="A129" s="2"/>
      <c r="B129" s="25"/>
      <c r="C129" s="30"/>
      <c r="D129" s="260"/>
      <c r="E129" s="25"/>
      <c r="F129" s="25"/>
      <c r="G129" s="30"/>
      <c r="H129" s="260"/>
      <c r="I129" s="25"/>
      <c r="J129" s="260"/>
      <c r="K129" s="37"/>
      <c r="L129" s="8"/>
    </row>
    <row r="130" spans="1:13" ht="10.5" customHeight="1">
      <c r="A130" s="2"/>
      <c r="B130" s="25"/>
      <c r="C130" s="30"/>
      <c r="D130" s="260"/>
      <c r="E130" s="25"/>
      <c r="F130" s="25"/>
      <c r="G130" s="338" t="s">
        <v>334</v>
      </c>
      <c r="H130" s="372"/>
      <c r="I130" s="25"/>
      <c r="J130" s="292">
        <f>IF(AND(D83&lt;&gt;"",G83&lt;&gt;"",J83&lt;&gt;""),-5%,0)</f>
        <v>0</v>
      </c>
      <c r="K130" s="291">
        <f>ROUND(Datenblatt!H72*J130,2)</f>
        <v>0</v>
      </c>
      <c r="L130" s="8"/>
      <c r="M130" s="335"/>
    </row>
    <row r="131" spans="1:12" ht="4.5" customHeight="1">
      <c r="A131" s="2"/>
      <c r="B131" s="25"/>
      <c r="C131" s="30"/>
      <c r="D131" s="260"/>
      <c r="E131" s="25"/>
      <c r="F131" s="25"/>
      <c r="G131" s="30"/>
      <c r="H131" s="260"/>
      <c r="I131" s="25"/>
      <c r="J131" s="293"/>
      <c r="K131" s="37"/>
      <c r="L131" s="8"/>
    </row>
    <row r="132" spans="1:13" ht="10.5" customHeight="1">
      <c r="A132" s="2"/>
      <c r="B132" s="25"/>
      <c r="C132" s="407">
        <f>IF(H53&gt;0,"Kann wegen Vorschäden nicht gewährt werden","")</f>
      </c>
      <c r="D132" s="407"/>
      <c r="E132" s="407"/>
      <c r="F132" s="25"/>
      <c r="G132" s="338" t="s">
        <v>97</v>
      </c>
      <c r="H132" s="372"/>
      <c r="I132" s="25"/>
      <c r="J132" s="292">
        <v>-0.25</v>
      </c>
      <c r="K132" s="291">
        <f>IF(H53&gt;0,0,IF(Datenblatt!G84=TRUE,ROUND(Datenblatt!H82*Antragsrechner!J132,2),0))</f>
        <v>0</v>
      </c>
      <c r="L132" s="8"/>
      <c r="M132" s="335"/>
    </row>
    <row r="133" spans="1:12" ht="4.5" customHeight="1">
      <c r="A133" s="2"/>
      <c r="B133" s="25"/>
      <c r="C133" s="30"/>
      <c r="D133" s="260"/>
      <c r="E133" s="25"/>
      <c r="F133" s="25"/>
      <c r="G133" s="30"/>
      <c r="H133" s="260"/>
      <c r="I133" s="25"/>
      <c r="J133" s="293"/>
      <c r="K133" s="37"/>
      <c r="L133" s="8"/>
    </row>
    <row r="134" spans="1:12" ht="10.5" customHeight="1">
      <c r="A134" s="2"/>
      <c r="B134" s="25"/>
      <c r="C134" s="30"/>
      <c r="D134" s="260"/>
      <c r="E134" s="25"/>
      <c r="F134" s="25"/>
      <c r="G134" s="409" t="s">
        <v>379</v>
      </c>
      <c r="H134" s="410"/>
      <c r="I134" s="25"/>
      <c r="J134" s="292">
        <v>-0.2</v>
      </c>
      <c r="K134" s="291">
        <f>IF(Datenblatt!G86=TRUE,ROUND(Datenblatt!H84*Antragsrechner!J134,2),0)</f>
        <v>0</v>
      </c>
      <c r="L134" s="8"/>
    </row>
    <row r="135" spans="1:12" ht="4.5" customHeight="1">
      <c r="A135" s="2"/>
      <c r="B135" s="25"/>
      <c r="C135" s="30"/>
      <c r="D135" s="260"/>
      <c r="E135" s="25"/>
      <c r="F135" s="25"/>
      <c r="G135" s="30"/>
      <c r="H135" s="260"/>
      <c r="I135" s="25"/>
      <c r="J135" s="293"/>
      <c r="K135" s="37"/>
      <c r="L135" s="8"/>
    </row>
    <row r="136" spans="1:17" ht="10.5" customHeight="1">
      <c r="A136" s="2"/>
      <c r="B136" s="25"/>
      <c r="C136" s="268"/>
      <c r="D136" s="399" t="s">
        <v>352</v>
      </c>
      <c r="E136" s="399"/>
      <c r="F136" s="269"/>
      <c r="G136" s="397"/>
      <c r="H136" s="398"/>
      <c r="I136" s="269"/>
      <c r="J136" s="298"/>
      <c r="K136" s="291">
        <f>IF(Datenblatt!G88=TRUE,ROUND(Datenblatt!H86*Antragsrechner!J136,1),0)</f>
        <v>0</v>
      </c>
      <c r="L136" s="8"/>
      <c r="N136" s="11"/>
      <c r="O136" s="11"/>
      <c r="P136" s="11"/>
      <c r="Q136" s="11"/>
    </row>
    <row r="137" spans="1:12" ht="7.5" customHeight="1">
      <c r="A137" s="2"/>
      <c r="B137" s="25"/>
      <c r="C137" s="30"/>
      <c r="D137" s="260"/>
      <c r="E137" s="25"/>
      <c r="F137" s="25"/>
      <c r="G137" s="294"/>
      <c r="H137" s="265"/>
      <c r="I137" s="25"/>
      <c r="J137" s="260"/>
      <c r="K137" s="37"/>
      <c r="L137" s="8"/>
    </row>
    <row r="138" spans="1:12" ht="10.5" customHeight="1">
      <c r="A138" s="2"/>
      <c r="B138" s="260" t="s">
        <v>5</v>
      </c>
      <c r="C138" s="30"/>
      <c r="D138" s="400" t="s">
        <v>347</v>
      </c>
      <c r="E138" s="400"/>
      <c r="F138" s="400"/>
      <c r="G138" s="400"/>
      <c r="H138" s="400"/>
      <c r="I138" s="400"/>
      <c r="J138" s="408"/>
      <c r="K138" s="295">
        <f>IF(K122=0,0,MAX(Datenblatt!G107,ROUND(SUM(K122:K136),2)))</f>
        <v>250</v>
      </c>
      <c r="L138" s="8"/>
    </row>
    <row r="139" spans="1:12" ht="4.5" customHeight="1">
      <c r="A139" s="2"/>
      <c r="B139" s="25"/>
      <c r="C139" s="30"/>
      <c r="D139" s="260"/>
      <c r="E139" s="25"/>
      <c r="F139" s="25"/>
      <c r="G139" s="30"/>
      <c r="H139" s="260"/>
      <c r="I139" s="25"/>
      <c r="J139" s="293"/>
      <c r="K139" s="37"/>
      <c r="L139" s="8"/>
    </row>
    <row r="140" spans="1:12" ht="10.5" customHeight="1">
      <c r="A140" s="2"/>
      <c r="B140" s="25"/>
      <c r="C140" s="38"/>
      <c r="D140" s="38"/>
      <c r="E140" s="260"/>
      <c r="F140" s="260"/>
      <c r="G140" s="267" t="s">
        <v>332</v>
      </c>
      <c r="H140" s="267"/>
      <c r="I140" s="38"/>
      <c r="J140" s="199">
        <f>IF(Datenblatt!D10=3,-0.05,0)</f>
        <v>0</v>
      </c>
      <c r="K140" s="291">
        <f>ROUND(K138*J140,2)</f>
        <v>0</v>
      </c>
      <c r="L140" s="8"/>
    </row>
    <row r="141" spans="1:12" ht="4.5" customHeight="1">
      <c r="A141" s="2"/>
      <c r="B141" s="25"/>
      <c r="C141" s="30"/>
      <c r="D141" s="260"/>
      <c r="E141" s="25"/>
      <c r="F141" s="25"/>
      <c r="G141" s="30"/>
      <c r="H141" s="260"/>
      <c r="I141" s="25"/>
      <c r="J141" s="260"/>
      <c r="K141" s="37"/>
      <c r="L141" s="8"/>
    </row>
    <row r="142" spans="1:12" ht="3" customHeight="1">
      <c r="A142" s="2"/>
      <c r="B142" s="25"/>
      <c r="C142" s="32"/>
      <c r="D142" s="32"/>
      <c r="E142" s="25"/>
      <c r="F142" s="25"/>
      <c r="G142" s="30"/>
      <c r="H142" s="260"/>
      <c r="I142" s="25"/>
      <c r="J142" s="260"/>
      <c r="K142" s="37"/>
      <c r="L142" s="8"/>
    </row>
    <row r="143" spans="1:12" ht="10.5" customHeight="1">
      <c r="A143" s="2"/>
      <c r="B143" s="25"/>
      <c r="C143" s="438" t="s">
        <v>200</v>
      </c>
      <c r="D143" s="438"/>
      <c r="E143" s="301" t="s">
        <v>377</v>
      </c>
      <c r="F143" s="266"/>
      <c r="G143" s="338" t="s">
        <v>99</v>
      </c>
      <c r="H143" s="372"/>
      <c r="I143" s="266"/>
      <c r="J143" s="41">
        <f>Datenblatt!E11</f>
        <v>0</v>
      </c>
      <c r="K143" s="291">
        <f>Datenblatt!H92*$J$143</f>
        <v>0</v>
      </c>
      <c r="L143" s="8"/>
    </row>
    <row r="144" spans="1:12" ht="4.5" customHeight="1">
      <c r="A144" s="2"/>
      <c r="B144" s="25"/>
      <c r="C144" s="32"/>
      <c r="D144" s="32"/>
      <c r="E144" s="25"/>
      <c r="F144" s="25"/>
      <c r="G144" s="30"/>
      <c r="H144" s="260"/>
      <c r="I144" s="25"/>
      <c r="J144" s="260"/>
      <c r="K144" s="37"/>
      <c r="L144" s="8"/>
    </row>
    <row r="145" spans="1:15" ht="10.5" customHeight="1">
      <c r="A145" s="2"/>
      <c r="B145" s="25"/>
      <c r="C145" s="260"/>
      <c r="D145" s="260"/>
      <c r="E145" s="260"/>
      <c r="F145" s="266"/>
      <c r="G145" s="338" t="s">
        <v>306</v>
      </c>
      <c r="H145" s="372"/>
      <c r="I145" s="266"/>
      <c r="J145" s="41">
        <v>0.19</v>
      </c>
      <c r="K145" s="291">
        <f>Datenblatt!H96*J145</f>
        <v>47.5</v>
      </c>
      <c r="L145" s="8"/>
      <c r="O145" s="7"/>
    </row>
    <row r="146" spans="1:12" ht="4.5" customHeight="1">
      <c r="A146" s="2"/>
      <c r="B146" s="25"/>
      <c r="C146" s="30"/>
      <c r="D146" s="260"/>
      <c r="E146" s="25"/>
      <c r="F146" s="25"/>
      <c r="G146" s="30"/>
      <c r="H146" s="260"/>
      <c r="I146" s="25"/>
      <c r="J146" s="260"/>
      <c r="K146" s="37"/>
      <c r="L146" s="8"/>
    </row>
    <row r="147" spans="1:12" ht="10.5" customHeight="1" thickBot="1">
      <c r="A147" s="2"/>
      <c r="B147" s="25"/>
      <c r="C147" s="30"/>
      <c r="D147" s="260"/>
      <c r="E147" s="25"/>
      <c r="F147" s="25"/>
      <c r="G147" s="411" t="s">
        <v>318</v>
      </c>
      <c r="H147" s="412"/>
      <c r="I147" s="412"/>
      <c r="J147" s="413"/>
      <c r="K147" s="296">
        <f>Datenblatt!H98</f>
        <v>297.5</v>
      </c>
      <c r="L147" s="8"/>
    </row>
    <row r="148" spans="1:12" ht="13.5" thickTop="1">
      <c r="A148" s="2"/>
      <c r="B148" s="414" t="s">
        <v>346</v>
      </c>
      <c r="C148" s="414"/>
      <c r="D148" s="414"/>
      <c r="E148" s="414"/>
      <c r="F148" s="414"/>
      <c r="G148" s="414"/>
      <c r="H148" s="414"/>
      <c r="I148" s="414"/>
      <c r="J148" s="414"/>
      <c r="K148" s="414"/>
      <c r="L148" s="8"/>
    </row>
    <row r="149" spans="1:12" ht="1.5" customHeight="1">
      <c r="A149" s="2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8"/>
    </row>
    <row r="150" spans="1:12" ht="7.5" customHeight="1">
      <c r="A150" s="343"/>
      <c r="B150" s="344"/>
      <c r="C150" s="344"/>
      <c r="D150" s="344"/>
      <c r="E150" s="344"/>
      <c r="F150" s="344"/>
      <c r="G150" s="344"/>
      <c r="H150" s="344"/>
      <c r="I150" s="344"/>
      <c r="J150" s="344"/>
      <c r="K150" s="344"/>
      <c r="L150" s="8"/>
    </row>
    <row r="151" spans="1:12" ht="12.75">
      <c r="A151" s="2"/>
      <c r="B151" s="349" t="s">
        <v>77</v>
      </c>
      <c r="C151" s="338"/>
      <c r="D151" s="338"/>
      <c r="E151" s="378"/>
      <c r="F151" s="50"/>
      <c r="G151" s="338" t="s">
        <v>54</v>
      </c>
      <c r="H151" s="338"/>
      <c r="I151" s="50"/>
      <c r="J151" s="406"/>
      <c r="K151" s="415"/>
      <c r="L151" s="271"/>
    </row>
    <row r="152" spans="1:12" ht="4.5" customHeight="1">
      <c r="A152" s="2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71"/>
    </row>
    <row r="153" spans="1:12" ht="12.75">
      <c r="A153" s="2"/>
      <c r="B153" s="26"/>
      <c r="C153" s="416" t="s">
        <v>80</v>
      </c>
      <c r="D153" s="417"/>
      <c r="E153" s="417"/>
      <c r="F153" s="417"/>
      <c r="G153" s="417"/>
      <c r="H153" s="417"/>
      <c r="I153" s="417"/>
      <c r="J153" s="417"/>
      <c r="K153" s="417"/>
      <c r="L153" s="271"/>
    </row>
    <row r="154" spans="1:12" ht="4.5" customHeight="1">
      <c r="A154" s="2"/>
      <c r="B154" s="26"/>
      <c r="C154" s="49"/>
      <c r="D154" s="53"/>
      <c r="E154" s="53"/>
      <c r="F154" s="53"/>
      <c r="G154" s="53"/>
      <c r="H154" s="53"/>
      <c r="I154" s="53"/>
      <c r="J154" s="53"/>
      <c r="K154" s="53"/>
      <c r="L154" s="271"/>
    </row>
    <row r="155" spans="1:12" ht="12.75">
      <c r="A155" s="2"/>
      <c r="B155" s="26"/>
      <c r="C155" s="406"/>
      <c r="D155" s="380"/>
      <c r="E155" s="380"/>
      <c r="F155" s="380"/>
      <c r="G155" s="380"/>
      <c r="H155" s="380"/>
      <c r="I155" s="380"/>
      <c r="J155" s="380"/>
      <c r="K155" s="380"/>
      <c r="L155" s="271"/>
    </row>
    <row r="156" spans="1:12" ht="4.5" customHeight="1">
      <c r="A156" s="2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71"/>
    </row>
    <row r="157" spans="1:12" ht="12.75">
      <c r="A157" s="2"/>
      <c r="B157" s="26"/>
      <c r="C157" s="406"/>
      <c r="D157" s="380"/>
      <c r="E157" s="380"/>
      <c r="F157" s="380"/>
      <c r="G157" s="380"/>
      <c r="H157" s="380"/>
      <c r="I157" s="380"/>
      <c r="J157" s="380"/>
      <c r="K157" s="380"/>
      <c r="L157" s="271"/>
    </row>
    <row r="158" spans="1:12" ht="4.5" customHeight="1">
      <c r="A158" s="2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71"/>
    </row>
    <row r="159" spans="1:12" ht="1.5" customHeight="1">
      <c r="A159" s="2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271"/>
    </row>
    <row r="160" spans="1:12" ht="7.5" customHeight="1">
      <c r="A160" s="343"/>
      <c r="B160" s="344"/>
      <c r="C160" s="344"/>
      <c r="D160" s="344"/>
      <c r="E160" s="344"/>
      <c r="F160" s="344"/>
      <c r="G160" s="344"/>
      <c r="H160" s="344"/>
      <c r="I160" s="344"/>
      <c r="J160" s="344"/>
      <c r="K160" s="344"/>
      <c r="L160" s="271"/>
    </row>
    <row r="161" spans="1:12" ht="12.75">
      <c r="A161" s="2"/>
      <c r="B161" s="349" t="s">
        <v>78</v>
      </c>
      <c r="C161" s="349"/>
      <c r="D161" s="349"/>
      <c r="E161" s="25"/>
      <c r="F161" s="25"/>
      <c r="G161" s="25"/>
      <c r="H161" s="25"/>
      <c r="I161" s="25"/>
      <c r="J161" s="25"/>
      <c r="K161" s="25"/>
      <c r="L161" s="8"/>
    </row>
    <row r="162" spans="1:12" ht="12.75">
      <c r="A162" s="2"/>
      <c r="B162" s="405" t="s">
        <v>325</v>
      </c>
      <c r="C162" s="405"/>
      <c r="D162" s="405"/>
      <c r="E162" s="405"/>
      <c r="F162" s="405"/>
      <c r="G162" s="405"/>
      <c r="H162" s="405"/>
      <c r="I162" s="405"/>
      <c r="J162" s="405"/>
      <c r="K162" s="405"/>
      <c r="L162" s="8"/>
    </row>
    <row r="163" spans="1:12" ht="12.75">
      <c r="A163" s="2"/>
      <c r="B163" s="405" t="s">
        <v>327</v>
      </c>
      <c r="C163" s="405"/>
      <c r="D163" s="405"/>
      <c r="E163" s="405"/>
      <c r="F163" s="405"/>
      <c r="G163" s="405"/>
      <c r="H163" s="405"/>
      <c r="I163" s="405"/>
      <c r="J163" s="405"/>
      <c r="K163" s="405"/>
      <c r="L163" s="8"/>
    </row>
    <row r="164" spans="1:12" ht="12.75">
      <c r="A164" s="2"/>
      <c r="B164" s="414" t="s">
        <v>326</v>
      </c>
      <c r="C164" s="414"/>
      <c r="D164" s="414"/>
      <c r="E164" s="414"/>
      <c r="F164" s="414"/>
      <c r="G164" s="414"/>
      <c r="H164" s="414"/>
      <c r="I164" s="414"/>
      <c r="J164" s="414"/>
      <c r="K164" s="414"/>
      <c r="L164" s="8"/>
    </row>
    <row r="165" spans="1:12" ht="12.75">
      <c r="A165" s="2"/>
      <c r="B165" s="361" t="s">
        <v>35</v>
      </c>
      <c r="C165" s="414"/>
      <c r="D165" s="414" t="s">
        <v>36</v>
      </c>
      <c r="E165" s="414"/>
      <c r="F165" s="414"/>
      <c r="G165" s="414"/>
      <c r="H165" s="414"/>
      <c r="I165" s="414"/>
      <c r="J165" s="414"/>
      <c r="K165" s="414"/>
      <c r="L165" s="8"/>
    </row>
    <row r="166" spans="1:12" ht="12.75">
      <c r="A166" s="2"/>
      <c r="B166" s="39"/>
      <c r="C166" s="39"/>
      <c r="D166" s="414" t="s">
        <v>37</v>
      </c>
      <c r="E166" s="414"/>
      <c r="F166" s="414"/>
      <c r="G166" s="414"/>
      <c r="H166" s="414"/>
      <c r="I166" s="414"/>
      <c r="J166" s="414"/>
      <c r="K166" s="414"/>
      <c r="L166" s="8"/>
    </row>
    <row r="167" spans="1:12" ht="12.75">
      <c r="A167" s="2"/>
      <c r="B167" s="361" t="s">
        <v>39</v>
      </c>
      <c r="C167" s="414"/>
      <c r="D167" s="414" t="s">
        <v>38</v>
      </c>
      <c r="E167" s="414"/>
      <c r="F167" s="414"/>
      <c r="G167" s="414"/>
      <c r="H167" s="414"/>
      <c r="I167" s="414"/>
      <c r="J167" s="414"/>
      <c r="K167" s="414"/>
      <c r="L167" s="8"/>
    </row>
    <row r="168" spans="1:12" ht="12.75">
      <c r="A168" s="2"/>
      <c r="B168" s="361" t="s">
        <v>40</v>
      </c>
      <c r="C168" s="378"/>
      <c r="D168" s="414" t="str">
        <f>IF(G91="P r e m i u m",Datenblatt!G182,Datenblatt!G181)</f>
        <v>9981 (Maschinenversicherung Premium)</v>
      </c>
      <c r="E168" s="414"/>
      <c r="F168" s="414"/>
      <c r="G168" s="414"/>
      <c r="H168" s="414"/>
      <c r="I168" s="414"/>
      <c r="J168" s="414"/>
      <c r="K168" s="414"/>
      <c r="L168" s="8"/>
    </row>
    <row r="169" spans="1:12" ht="4.5" customHeight="1">
      <c r="A169" s="2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8"/>
    </row>
    <row r="170" spans="1:12" ht="1.5" customHeight="1">
      <c r="A170" s="2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8"/>
    </row>
    <row r="171" spans="2:12" ht="7.5" customHeight="1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8"/>
    </row>
    <row r="172" spans="1:12" ht="12.75">
      <c r="A172" s="2"/>
      <c r="B172" s="349" t="s">
        <v>79</v>
      </c>
      <c r="C172" s="349"/>
      <c r="D172" s="349"/>
      <c r="E172" s="25"/>
      <c r="F172" s="25"/>
      <c r="G172" s="25"/>
      <c r="H172" s="25"/>
      <c r="I172" s="25"/>
      <c r="J172" s="25"/>
      <c r="K172" s="25"/>
      <c r="L172" s="8"/>
    </row>
    <row r="173" spans="1:12" ht="12.75">
      <c r="A173" s="2"/>
      <c r="B173" s="414" t="s">
        <v>323</v>
      </c>
      <c r="C173" s="414"/>
      <c r="D173" s="414"/>
      <c r="E173" s="414"/>
      <c r="F173" s="414"/>
      <c r="G173" s="414"/>
      <c r="H173" s="414"/>
      <c r="I173" s="414"/>
      <c r="J173" s="414"/>
      <c r="K173" s="414"/>
      <c r="L173" s="8"/>
    </row>
    <row r="174" spans="1:12" ht="12.75">
      <c r="A174" s="2"/>
      <c r="B174" s="414" t="s">
        <v>324</v>
      </c>
      <c r="C174" s="414"/>
      <c r="D174" s="414"/>
      <c r="E174" s="414"/>
      <c r="F174" s="414"/>
      <c r="G174" s="414"/>
      <c r="H174" s="414"/>
      <c r="I174" s="414"/>
      <c r="J174" s="414"/>
      <c r="K174" s="414"/>
      <c r="L174" s="8"/>
    </row>
    <row r="175" spans="1:12" ht="4.5" customHeight="1">
      <c r="A175" s="2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8"/>
    </row>
    <row r="176" spans="1:12" ht="9.75" customHeight="1">
      <c r="A176" s="2"/>
      <c r="B176" s="26"/>
      <c r="C176" s="427"/>
      <c r="D176" s="428"/>
      <c r="E176" s="64"/>
      <c r="F176" s="65"/>
      <c r="G176" s="431"/>
      <c r="H176" s="432"/>
      <c r="I176" s="432"/>
      <c r="J176" s="432"/>
      <c r="K176" s="433"/>
      <c r="L176" s="8"/>
    </row>
    <row r="177" spans="1:12" ht="9.75" customHeight="1">
      <c r="A177" s="2"/>
      <c r="B177" s="26"/>
      <c r="C177" s="429"/>
      <c r="D177" s="430"/>
      <c r="E177" s="64"/>
      <c r="F177" s="65"/>
      <c r="G177" s="434"/>
      <c r="H177" s="434"/>
      <c r="I177" s="434"/>
      <c r="J177" s="434"/>
      <c r="K177" s="435"/>
      <c r="L177" s="8"/>
    </row>
    <row r="178" spans="1:12" ht="13.5" thickBot="1">
      <c r="A178" s="2"/>
      <c r="B178" s="194"/>
      <c r="C178" s="418" t="s">
        <v>43</v>
      </c>
      <c r="D178" s="418"/>
      <c r="E178" s="419"/>
      <c r="F178" s="195"/>
      <c r="G178" s="418" t="s">
        <v>44</v>
      </c>
      <c r="H178" s="418"/>
      <c r="I178" s="418"/>
      <c r="J178" s="418"/>
      <c r="K178" s="418"/>
      <c r="L178" s="8"/>
    </row>
    <row r="179" spans="1:12" ht="44.25" customHeight="1">
      <c r="A179" s="8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8"/>
    </row>
    <row r="453" ht="12.75">
      <c r="S453" s="1" t="s">
        <v>239</v>
      </c>
    </row>
    <row r="469" spans="4:7" ht="12.75">
      <c r="D469" s="18" t="s">
        <v>66</v>
      </c>
      <c r="E469" s="18" t="s">
        <v>67</v>
      </c>
      <c r="F469" s="18"/>
      <c r="G469" s="18" t="s">
        <v>68</v>
      </c>
    </row>
    <row r="470" spans="18:25" ht="12.75">
      <c r="R470" s="101" t="s">
        <v>129</v>
      </c>
      <c r="S470" s="108" t="s">
        <v>129</v>
      </c>
      <c r="T470" s="109" t="s">
        <v>137</v>
      </c>
      <c r="U470" s="109" t="s">
        <v>82</v>
      </c>
      <c r="V470" s="13" t="s">
        <v>60</v>
      </c>
      <c r="W470" s="13" t="s">
        <v>84</v>
      </c>
      <c r="X470" s="13" t="s">
        <v>83</v>
      </c>
      <c r="Y470" s="13" t="s">
        <v>85</v>
      </c>
    </row>
    <row r="471" spans="4:25" ht="12.75">
      <c r="D471" s="1" t="b">
        <f aca="true" t="array" ref="D471">OR(EXACT(D72&amp;D74,Datenblatt!E167:E240))</f>
        <v>0</v>
      </c>
      <c r="E471" s="1" t="b">
        <f aca="true" t="array" ref="E471">OR(EXACT(G72&amp;G74,Datenblatt!E167:E240))</f>
        <v>0</v>
      </c>
      <c r="G471" s="1" t="b">
        <f aca="true" t="array" ref="G471">OR(EXACT(J72&amp;J74,Datenblatt!E167:E240))</f>
        <v>0</v>
      </c>
      <c r="R471" s="101" t="s">
        <v>137</v>
      </c>
      <c r="S471" s="106" t="s">
        <v>130</v>
      </c>
      <c r="T471" s="106" t="s">
        <v>138</v>
      </c>
      <c r="U471" s="106" t="s">
        <v>144</v>
      </c>
      <c r="V471" s="106" t="s">
        <v>148</v>
      </c>
      <c r="W471" s="1" t="s">
        <v>230</v>
      </c>
      <c r="X471" s="106" t="s">
        <v>166</v>
      </c>
      <c r="Y471" s="106" t="s">
        <v>173</v>
      </c>
    </row>
    <row r="472" spans="18:25" ht="12.75">
      <c r="R472" s="99" t="s">
        <v>82</v>
      </c>
      <c r="S472" s="106" t="s">
        <v>212</v>
      </c>
      <c r="T472" s="106" t="s">
        <v>140</v>
      </c>
      <c r="U472" s="106" t="s">
        <v>146</v>
      </c>
      <c r="V472" s="106" t="s">
        <v>149</v>
      </c>
      <c r="W472" s="106" t="s">
        <v>233</v>
      </c>
      <c r="X472" s="106" t="s">
        <v>168</v>
      </c>
      <c r="Y472" s="106" t="s">
        <v>238</v>
      </c>
    </row>
    <row r="473" spans="4:25" ht="12.75">
      <c r="D473" s="354" t="s">
        <v>284</v>
      </c>
      <c r="E473" s="355"/>
      <c r="F473" s="355"/>
      <c r="G473" s="355"/>
      <c r="R473" s="101" t="s">
        <v>60</v>
      </c>
      <c r="S473" s="106" t="s">
        <v>132</v>
      </c>
      <c r="T473" s="106" t="s">
        <v>141</v>
      </c>
      <c r="U473" s="106" t="s">
        <v>147</v>
      </c>
      <c r="V473" s="106" t="s">
        <v>209</v>
      </c>
      <c r="W473" s="1" t="s">
        <v>217</v>
      </c>
      <c r="X473" s="106" t="s">
        <v>169</v>
      </c>
      <c r="Y473" s="106" t="s">
        <v>174</v>
      </c>
    </row>
    <row r="474" spans="18:25" ht="12.75">
      <c r="R474" s="101" t="s">
        <v>84</v>
      </c>
      <c r="S474" s="106" t="s">
        <v>134</v>
      </c>
      <c r="T474" s="106" t="s">
        <v>142</v>
      </c>
      <c r="V474" s="106" t="s">
        <v>208</v>
      </c>
      <c r="W474" s="106" t="s">
        <v>232</v>
      </c>
      <c r="X474" s="106" t="s">
        <v>170</v>
      </c>
      <c r="Y474" s="106" t="s">
        <v>175</v>
      </c>
    </row>
    <row r="475" spans="18:25" ht="12.75">
      <c r="R475" s="101" t="s">
        <v>83</v>
      </c>
      <c r="S475" s="106" t="s">
        <v>135</v>
      </c>
      <c r="T475" s="106" t="s">
        <v>143</v>
      </c>
      <c r="V475" s="1" t="s">
        <v>214</v>
      </c>
      <c r="W475" s="106" t="s">
        <v>231</v>
      </c>
      <c r="X475" s="106" t="s">
        <v>171</v>
      </c>
      <c r="Y475" s="106" t="s">
        <v>237</v>
      </c>
    </row>
    <row r="476" spans="2:24" ht="12.75">
      <c r="B476" s="1" t="s">
        <v>356</v>
      </c>
      <c r="R476" s="102" t="s">
        <v>85</v>
      </c>
      <c r="S476" s="106" t="s">
        <v>213</v>
      </c>
      <c r="V476" s="106" t="s">
        <v>207</v>
      </c>
      <c r="W476" s="106" t="s">
        <v>150</v>
      </c>
      <c r="X476" s="106" t="s">
        <v>210</v>
      </c>
    </row>
    <row r="477" spans="2:24" ht="12.75">
      <c r="B477" s="1" t="s">
        <v>357</v>
      </c>
      <c r="S477" s="106" t="s">
        <v>136</v>
      </c>
      <c r="V477" s="106" t="s">
        <v>206</v>
      </c>
      <c r="W477" s="1" t="s">
        <v>219</v>
      </c>
      <c r="X477" s="106" t="s">
        <v>211</v>
      </c>
    </row>
    <row r="478" spans="2:23" ht="12.75">
      <c r="B478" s="1" t="s">
        <v>355</v>
      </c>
      <c r="S478" s="106" t="s">
        <v>205</v>
      </c>
      <c r="V478" s="1" t="s">
        <v>216</v>
      </c>
      <c r="W478" s="106" t="s">
        <v>151</v>
      </c>
    </row>
    <row r="479" spans="19:23" ht="12.75">
      <c r="S479" s="106" t="s">
        <v>204</v>
      </c>
      <c r="V479" s="106" t="s">
        <v>215</v>
      </c>
      <c r="W479" s="106" t="s">
        <v>152</v>
      </c>
    </row>
    <row r="480" ht="12.75">
      <c r="W480" s="106" t="s">
        <v>153</v>
      </c>
    </row>
    <row r="481" spans="2:23" ht="12.75">
      <c r="B481" s="11">
        <v>0</v>
      </c>
      <c r="W481" s="106" t="s">
        <v>234</v>
      </c>
    </row>
    <row r="482" spans="2:23" ht="12.75">
      <c r="B482" s="11">
        <v>-1</v>
      </c>
      <c r="W482" s="1" t="s">
        <v>221</v>
      </c>
    </row>
    <row r="483" spans="2:23" ht="12.75">
      <c r="B483" s="11">
        <v>-2</v>
      </c>
      <c r="W483" s="106" t="s">
        <v>154</v>
      </c>
    </row>
    <row r="484" spans="2:23" ht="12.75">
      <c r="B484" s="11">
        <v>-3</v>
      </c>
      <c r="W484" s="106" t="s">
        <v>236</v>
      </c>
    </row>
    <row r="485" spans="2:23" ht="12.75">
      <c r="B485" s="11">
        <v>-4</v>
      </c>
      <c r="W485" s="1" t="s">
        <v>222</v>
      </c>
    </row>
    <row r="486" spans="2:23" ht="12.75">
      <c r="B486" s="11">
        <v>-5</v>
      </c>
      <c r="W486" s="106" t="s">
        <v>155</v>
      </c>
    </row>
    <row r="487" spans="2:23" ht="12.75">
      <c r="B487" s="11">
        <v>-6</v>
      </c>
      <c r="W487" s="106" t="s">
        <v>235</v>
      </c>
    </row>
    <row r="488" spans="2:23" ht="12.75">
      <c r="B488" s="11">
        <v>-7</v>
      </c>
      <c r="W488" s="106" t="s">
        <v>156</v>
      </c>
    </row>
    <row r="489" spans="2:23" ht="12.75">
      <c r="B489" s="11">
        <v>-8</v>
      </c>
      <c r="W489" s="106" t="s">
        <v>157</v>
      </c>
    </row>
    <row r="490" spans="2:23" ht="12.75">
      <c r="B490" s="11">
        <v>-9</v>
      </c>
      <c r="W490" s="106" t="s">
        <v>158</v>
      </c>
    </row>
    <row r="491" spans="2:23" ht="12.75">
      <c r="B491" s="11">
        <v>-10</v>
      </c>
      <c r="W491" s="1" t="s">
        <v>225</v>
      </c>
    </row>
    <row r="492" spans="2:23" ht="12.75">
      <c r="B492" s="11">
        <v>-11</v>
      </c>
      <c r="W492" s="106" t="s">
        <v>159</v>
      </c>
    </row>
    <row r="493" spans="2:23" ht="12.75">
      <c r="B493" s="11">
        <v>-12</v>
      </c>
      <c r="W493" s="1" t="s">
        <v>223</v>
      </c>
    </row>
    <row r="494" spans="2:23" ht="12.75">
      <c r="B494" s="11">
        <v>-13</v>
      </c>
      <c r="W494" s="1" t="s">
        <v>218</v>
      </c>
    </row>
    <row r="495" spans="2:23" ht="12.75">
      <c r="B495" s="11">
        <v>-14</v>
      </c>
      <c r="W495" s="1" t="s">
        <v>227</v>
      </c>
    </row>
    <row r="496" spans="2:23" ht="12.75">
      <c r="B496" s="11">
        <v>-15</v>
      </c>
      <c r="W496" s="106" t="s">
        <v>160</v>
      </c>
    </row>
    <row r="497" spans="2:23" ht="12.75">
      <c r="B497" s="11">
        <v>-16</v>
      </c>
      <c r="W497" s="1" t="s">
        <v>226</v>
      </c>
    </row>
    <row r="498" spans="2:23" ht="12.75">
      <c r="B498" s="11">
        <v>-17</v>
      </c>
      <c r="W498" s="1" t="s">
        <v>228</v>
      </c>
    </row>
    <row r="499" spans="2:23" ht="12.75">
      <c r="B499" s="11">
        <v>-18</v>
      </c>
      <c r="W499" s="106" t="s">
        <v>161</v>
      </c>
    </row>
    <row r="500" spans="2:23" ht="12.75">
      <c r="B500" s="11">
        <v>-19</v>
      </c>
      <c r="W500" s="106" t="s">
        <v>162</v>
      </c>
    </row>
    <row r="501" spans="2:23" ht="12.75">
      <c r="B501" s="11">
        <v>-20</v>
      </c>
      <c r="W501" s="1" t="s">
        <v>220</v>
      </c>
    </row>
    <row r="502" spans="2:23" ht="12.75">
      <c r="B502" s="11">
        <v>-21</v>
      </c>
      <c r="W502" s="106" t="s">
        <v>163</v>
      </c>
    </row>
    <row r="503" spans="2:23" ht="12.75">
      <c r="B503" s="11">
        <v>-22</v>
      </c>
      <c r="W503" s="1" t="s">
        <v>229</v>
      </c>
    </row>
    <row r="504" spans="2:23" ht="12.75">
      <c r="B504" s="11">
        <v>-23</v>
      </c>
      <c r="W504" s="106" t="s">
        <v>164</v>
      </c>
    </row>
    <row r="505" spans="2:23" ht="12.75">
      <c r="B505" s="11">
        <v>-24</v>
      </c>
      <c r="W505" s="106" t="s">
        <v>165</v>
      </c>
    </row>
    <row r="506" spans="2:23" ht="12.75">
      <c r="B506" s="11">
        <v>-25</v>
      </c>
      <c r="W506" s="1" t="s">
        <v>224</v>
      </c>
    </row>
    <row r="507" ht="12.75">
      <c r="B507" s="11">
        <v>-26</v>
      </c>
    </row>
    <row r="508" ht="12.75">
      <c r="B508" s="11">
        <v>-27</v>
      </c>
    </row>
    <row r="509" ht="12.75">
      <c r="B509" s="11">
        <v>-28</v>
      </c>
    </row>
    <row r="510" ht="12.75">
      <c r="B510" s="11">
        <v>-29</v>
      </c>
    </row>
    <row r="511" ht="12.75">
      <c r="B511" s="11">
        <v>-30</v>
      </c>
    </row>
    <row r="512" ht="12.75">
      <c r="B512" s="11"/>
    </row>
    <row r="513" ht="12.75">
      <c r="B513" s="11"/>
    </row>
  </sheetData>
  <sheetProtection password="C4D4" sheet="1" selectLockedCells="1"/>
  <mergeCells count="151">
    <mergeCell ref="B104:C104"/>
    <mergeCell ref="B107:C107"/>
    <mergeCell ref="D92:E92"/>
    <mergeCell ref="G92:H92"/>
    <mergeCell ref="D96:E96"/>
    <mergeCell ref="G96:H96"/>
    <mergeCell ref="J74:K74"/>
    <mergeCell ref="J77:K77"/>
    <mergeCell ref="J79:K79"/>
    <mergeCell ref="B74:C74"/>
    <mergeCell ref="B77:C77"/>
    <mergeCell ref="B72:C72"/>
    <mergeCell ref="G79:H79"/>
    <mergeCell ref="G72:H72"/>
    <mergeCell ref="J72:K72"/>
    <mergeCell ref="D72:E72"/>
    <mergeCell ref="G81:H81"/>
    <mergeCell ref="D83:E83"/>
    <mergeCell ref="D74:E74"/>
    <mergeCell ref="D77:E77"/>
    <mergeCell ref="B79:C79"/>
    <mergeCell ref="D79:E79"/>
    <mergeCell ref="B83:C83"/>
    <mergeCell ref="G74:H74"/>
    <mergeCell ref="G77:H77"/>
    <mergeCell ref="C176:D177"/>
    <mergeCell ref="G176:K177"/>
    <mergeCell ref="J86:K86"/>
    <mergeCell ref="B172:D172"/>
    <mergeCell ref="C157:K157"/>
    <mergeCell ref="A160:K160"/>
    <mergeCell ref="C143:D143"/>
    <mergeCell ref="J92:K92"/>
    <mergeCell ref="J96:K96"/>
    <mergeCell ref="B96:C96"/>
    <mergeCell ref="B173:K173"/>
    <mergeCell ref="J84:K85"/>
    <mergeCell ref="B84:C85"/>
    <mergeCell ref="B100:C100"/>
    <mergeCell ref="D91:E91"/>
    <mergeCell ref="B174:K174"/>
    <mergeCell ref="B98:C98"/>
    <mergeCell ref="G91:H91"/>
    <mergeCell ref="B93:C93"/>
    <mergeCell ref="B102:C102"/>
    <mergeCell ref="B164:K164"/>
    <mergeCell ref="C178:E178"/>
    <mergeCell ref="G178:K178"/>
    <mergeCell ref="B165:C165"/>
    <mergeCell ref="D165:K165"/>
    <mergeCell ref="D166:K166"/>
    <mergeCell ref="B167:C167"/>
    <mergeCell ref="D167:K167"/>
    <mergeCell ref="B168:C168"/>
    <mergeCell ref="D168:K168"/>
    <mergeCell ref="B163:K163"/>
    <mergeCell ref="G143:H143"/>
    <mergeCell ref="G145:H145"/>
    <mergeCell ref="G147:J147"/>
    <mergeCell ref="B148:K148"/>
    <mergeCell ref="A150:K150"/>
    <mergeCell ref="B151:E151"/>
    <mergeCell ref="G151:H151"/>
    <mergeCell ref="J151:K151"/>
    <mergeCell ref="C153:K153"/>
    <mergeCell ref="B161:D161"/>
    <mergeCell ref="B162:K162"/>
    <mergeCell ref="C155:K155"/>
    <mergeCell ref="C132:E132"/>
    <mergeCell ref="D138:J138"/>
    <mergeCell ref="G134:H134"/>
    <mergeCell ref="B110:C110"/>
    <mergeCell ref="B113:C113"/>
    <mergeCell ref="B116:C116"/>
    <mergeCell ref="B119:C119"/>
    <mergeCell ref="G132:H132"/>
    <mergeCell ref="D136:E136"/>
    <mergeCell ref="G136:H136"/>
    <mergeCell ref="G130:H130"/>
    <mergeCell ref="J83:K83"/>
    <mergeCell ref="G83:H83"/>
    <mergeCell ref="G86:H86"/>
    <mergeCell ref="D84:E85"/>
    <mergeCell ref="G84:H85"/>
    <mergeCell ref="G128:H128"/>
    <mergeCell ref="D128:E128"/>
    <mergeCell ref="G122:J122"/>
    <mergeCell ref="G124:H124"/>
    <mergeCell ref="G126:H126"/>
    <mergeCell ref="B63:H63"/>
    <mergeCell ref="B65:H65"/>
    <mergeCell ref="B69:D69"/>
    <mergeCell ref="J70:K70"/>
    <mergeCell ref="D70:E70"/>
    <mergeCell ref="A89:K89"/>
    <mergeCell ref="J81:K81"/>
    <mergeCell ref="B86:C86"/>
    <mergeCell ref="B81:C81"/>
    <mergeCell ref="D81:E81"/>
    <mergeCell ref="B31:E31"/>
    <mergeCell ref="C35:D35"/>
    <mergeCell ref="H49:K49"/>
    <mergeCell ref="J51:K51"/>
    <mergeCell ref="A44:K44"/>
    <mergeCell ref="B45:D45"/>
    <mergeCell ref="H47:K47"/>
    <mergeCell ref="C41:J41"/>
    <mergeCell ref="C21:K21"/>
    <mergeCell ref="C23:D23"/>
    <mergeCell ref="E23:G23"/>
    <mergeCell ref="J23:K23"/>
    <mergeCell ref="A30:K30"/>
    <mergeCell ref="B27:C27"/>
    <mergeCell ref="D27:G27"/>
    <mergeCell ref="E25:K25"/>
    <mergeCell ref="A6:K6"/>
    <mergeCell ref="B7:D7"/>
    <mergeCell ref="E7:E12"/>
    <mergeCell ref="C13:E13"/>
    <mergeCell ref="H13:K13"/>
    <mergeCell ref="H14:K14"/>
    <mergeCell ref="B8:D8"/>
    <mergeCell ref="C9:D9"/>
    <mergeCell ref="H10:K10"/>
    <mergeCell ref="H11:K11"/>
    <mergeCell ref="A1:H1"/>
    <mergeCell ref="J1:J5"/>
    <mergeCell ref="K1:K5"/>
    <mergeCell ref="A2:A5"/>
    <mergeCell ref="B2:G2"/>
    <mergeCell ref="B3:G4"/>
    <mergeCell ref="D473:G473"/>
    <mergeCell ref="D75:E75"/>
    <mergeCell ref="G75:H75"/>
    <mergeCell ref="J75:K75"/>
    <mergeCell ref="H68:K68"/>
    <mergeCell ref="C37:D37"/>
    <mergeCell ref="B59:D59"/>
    <mergeCell ref="G70:H70"/>
    <mergeCell ref="H58:K58"/>
    <mergeCell ref="B61:H61"/>
    <mergeCell ref="B53:C53"/>
    <mergeCell ref="B54:C55"/>
    <mergeCell ref="C108:D108"/>
    <mergeCell ref="A16:K16"/>
    <mergeCell ref="H7:K8"/>
    <mergeCell ref="H9:K9"/>
    <mergeCell ref="B17:E17"/>
    <mergeCell ref="B18:K18"/>
    <mergeCell ref="H12:K12"/>
    <mergeCell ref="C19:K19"/>
  </mergeCells>
  <conditionalFormatting sqref="J19">
    <cfRule type="expression" priority="126" dxfId="0" stopIfTrue="1">
      <formula>IF(ISBLANK(J19:P19),TRUE,FALSE)</formula>
    </cfRule>
  </conditionalFormatting>
  <conditionalFormatting sqref="J151:K151">
    <cfRule type="expression" priority="130" dxfId="0" stopIfTrue="1">
      <formula>IF(AND($M$151=TRUE,ISBLANK(J151:K151)),TRUE,FALSE)</formula>
    </cfRule>
  </conditionalFormatting>
  <conditionalFormatting sqref="C21:H21 C33 G33 J21:K21">
    <cfRule type="expression" priority="125" dxfId="0" stopIfTrue="1">
      <formula>IF(ISBLANK(C21),TRUE,FALSE)</formula>
    </cfRule>
  </conditionalFormatting>
  <conditionalFormatting sqref="J23:K23">
    <cfRule type="expression" priority="16" dxfId="79" stopIfTrue="1">
      <formula>IF(L23=FALSE,TRUE,FALSE)</formula>
    </cfRule>
    <cfRule type="expression" priority="134" dxfId="0" stopIfTrue="1">
      <formula>IF(AND($L$23=TRUE,ISBLANK(J23:K23)),TRUE,FALSE)</formula>
    </cfRule>
  </conditionalFormatting>
  <conditionalFormatting sqref="J130">
    <cfRule type="expression" priority="124" dxfId="9" stopIfTrue="1">
      <formula>IF(AND($O$130=TRUE,ISBLANK(J130)),TRUE,FALSE)</formula>
    </cfRule>
  </conditionalFormatting>
  <conditionalFormatting sqref="J132">
    <cfRule type="expression" priority="122" dxfId="9" stopIfTrue="1">
      <formula>IF(AND($O$132=TRUE,($J$132=0)),TRUE,FALSE)</formula>
    </cfRule>
  </conditionalFormatting>
  <conditionalFormatting sqref="H11">
    <cfRule type="expression" priority="121" dxfId="9" stopIfTrue="1">
      <formula>IF(ISBLANK(H11),TRUE,FALSE)</formula>
    </cfRule>
  </conditionalFormatting>
  <conditionalFormatting sqref="G19:H19">
    <cfRule type="expression" priority="141" dxfId="0" stopIfTrue="1">
      <formula>IF(ISBLANK(G19:N19),TRUE,FALSE)</formula>
    </cfRule>
  </conditionalFormatting>
  <conditionalFormatting sqref="C19:F19">
    <cfRule type="expression" priority="160" dxfId="0" stopIfTrue="1">
      <formula>IF(ISBLANK(C19:K19),TRUE,FALSE)</formula>
    </cfRule>
  </conditionalFormatting>
  <conditionalFormatting sqref="C157:F157">
    <cfRule type="expression" priority="161" dxfId="0" stopIfTrue="1">
      <formula>IF(AND($M$157=TRUE,ISBLANK(C157:J157)),TRUE,FALSE)</formula>
    </cfRule>
  </conditionalFormatting>
  <conditionalFormatting sqref="G157:H157">
    <cfRule type="expression" priority="162" dxfId="0" stopIfTrue="1">
      <formula>IF(AND($M$157=TRUE,ISBLANK(G157:M157)),TRUE,FALSE)</formula>
    </cfRule>
  </conditionalFormatting>
  <conditionalFormatting sqref="J157:K157">
    <cfRule type="expression" priority="163" dxfId="0" stopIfTrue="1">
      <formula>IF(AND($M$157=TRUE,ISBLANK(J157:O157)),TRUE,FALSE)</formula>
    </cfRule>
  </conditionalFormatting>
  <conditionalFormatting sqref="C155:F155">
    <cfRule type="expression" priority="164" dxfId="0" stopIfTrue="1">
      <formula>IF(AND($M$155=TRUE,ISBLANK(C155:J155)),TRUE,FALSE)</formula>
    </cfRule>
  </conditionalFormatting>
  <conditionalFormatting sqref="G155:H155">
    <cfRule type="expression" priority="165" dxfId="0" stopIfTrue="1">
      <formula>IF(AND($M$155=TRUE,ISBLANK(G155:M155)),TRUE,FALSE)</formula>
    </cfRule>
  </conditionalFormatting>
  <conditionalFormatting sqref="J155:K155">
    <cfRule type="expression" priority="166" dxfId="0" stopIfTrue="1">
      <formula>IF(AND($M$155=TRUE,ISBLANK(J155:O155)),TRUE,FALSE)</formula>
    </cfRule>
  </conditionalFormatting>
  <conditionalFormatting sqref="I21">
    <cfRule type="expression" priority="115" dxfId="0" stopIfTrue="1">
      <formula>IF(ISBLANK(I21),TRUE,FALSE)</formula>
    </cfRule>
  </conditionalFormatting>
  <conditionalFormatting sqref="I157">
    <cfRule type="expression" priority="117" dxfId="0" stopIfTrue="1">
      <formula>IF(AND($M$157=TRUE,ISBLANK(I157:P157)),TRUE,FALSE)</formula>
    </cfRule>
  </conditionalFormatting>
  <conditionalFormatting sqref="I155">
    <cfRule type="expression" priority="118" dxfId="0" stopIfTrue="1">
      <formula>IF(AND($M$155=TRUE,ISBLANK(I155:P155)),TRUE,FALSE)</formula>
    </cfRule>
  </conditionalFormatting>
  <conditionalFormatting sqref="C35">
    <cfRule type="expression" priority="95" dxfId="0" stopIfTrue="1">
      <formula>IF(ISBLANK(C35),TRUE,FALSE)</formula>
    </cfRule>
  </conditionalFormatting>
  <conditionalFormatting sqref="C37">
    <cfRule type="expression" priority="94" dxfId="0" stopIfTrue="1">
      <formula>IF(ISBLANK(C37),TRUE,FALSE)</formula>
    </cfRule>
  </conditionalFormatting>
  <conditionalFormatting sqref="C39">
    <cfRule type="expression" priority="25" dxfId="79" stopIfTrue="1">
      <formula>IF($C$37="Rechnung",TRUE,FALSE)</formula>
    </cfRule>
    <cfRule type="expression" priority="93" dxfId="0" stopIfTrue="1">
      <formula>IF(AND(ISBLANK(C39),$C$37="Lastschrifteinzug"),TRUE,FALSE)</formula>
    </cfRule>
  </conditionalFormatting>
  <conditionalFormatting sqref="D39">
    <cfRule type="expression" priority="24" dxfId="79" stopIfTrue="1">
      <formula>IF($C$37="Rechnung",TRUE,FALSE)</formula>
    </cfRule>
    <cfRule type="expression" priority="92" dxfId="0" stopIfTrue="1">
      <formula>IF(AND(ISBLANK(D39),$C$37="Lastschrifteinzug"),TRUE,FALSE)</formula>
    </cfRule>
  </conditionalFormatting>
  <conditionalFormatting sqref="E39">
    <cfRule type="expression" priority="23" dxfId="79" stopIfTrue="1">
      <formula>IF($C$37="Rechnung",TRUE,FALSE)</formula>
    </cfRule>
    <cfRule type="expression" priority="91" dxfId="0" stopIfTrue="1">
      <formula>IF(AND(ISBLANK(E39),$C$37="Lastschrifteinzug"),TRUE,FALSE)</formula>
    </cfRule>
  </conditionalFormatting>
  <conditionalFormatting sqref="G39">
    <cfRule type="expression" priority="22" dxfId="79" stopIfTrue="1">
      <formula>IF($C$37="Rechnung",TRUE,FALSE)</formula>
    </cfRule>
    <cfRule type="expression" priority="90" dxfId="0" stopIfTrue="1">
      <formula>IF(AND(ISBLANK(G39),$C$37="Lastschrifteinzug"),TRUE,FALSE)</formula>
    </cfRule>
  </conditionalFormatting>
  <conditionalFormatting sqref="H39">
    <cfRule type="expression" priority="21" dxfId="79" stopIfTrue="1">
      <formula>IF($C$37="Rechnung",TRUE,FALSE)</formula>
    </cfRule>
    <cfRule type="expression" priority="89" dxfId="0" stopIfTrue="1">
      <formula>IF(AND(ISBLANK(H39),$C$37="Lastschrifteinzug"),TRUE,FALSE)</formula>
    </cfRule>
  </conditionalFormatting>
  <conditionalFormatting sqref="J39">
    <cfRule type="expression" priority="20" dxfId="79" stopIfTrue="1">
      <formula>IF($C$37="Rechnung",TRUE,FALSE)</formula>
    </cfRule>
    <cfRule type="expression" priority="88" dxfId="0" stopIfTrue="1">
      <formula>IF(AND(ISBLANK(J39),$C$37="Lastschrifteinzug"),TRUE,FALSE)</formula>
    </cfRule>
  </conditionalFormatting>
  <conditionalFormatting sqref="J61">
    <cfRule type="expression" priority="87" dxfId="0" stopIfTrue="1">
      <formula>IF(ISBLANK(J61),TRUE,FALSE)</formula>
    </cfRule>
  </conditionalFormatting>
  <conditionalFormatting sqref="J63">
    <cfRule type="expression" priority="86" dxfId="0" stopIfTrue="1">
      <formula>IF(ISBLANK(J63),TRUE,FALSE)</formula>
    </cfRule>
  </conditionalFormatting>
  <conditionalFormatting sqref="J65">
    <cfRule type="expression" priority="85" dxfId="0" stopIfTrue="1">
      <formula>IF(ISBLANK(J65),TRUE,FALSE)</formula>
    </cfRule>
  </conditionalFormatting>
  <conditionalFormatting sqref="D47">
    <cfRule type="expression" priority="84" dxfId="0" stopIfTrue="1">
      <formula>IF(ISBLANK(D47),TRUE,FALSE)</formula>
    </cfRule>
  </conditionalFormatting>
  <conditionalFormatting sqref="D53">
    <cfRule type="expression" priority="83" dxfId="0" stopIfTrue="1">
      <formula>IF(ISBLANK(D53),TRUE,FALSE)</formula>
    </cfRule>
  </conditionalFormatting>
  <conditionalFormatting sqref="H7">
    <cfRule type="expression" priority="82" dxfId="9" stopIfTrue="1">
      <formula>IF(ISBLANK(H7),TRUE,FALSE)</formula>
    </cfRule>
  </conditionalFormatting>
  <conditionalFormatting sqref="C41">
    <cfRule type="expression" priority="81" dxfId="0" stopIfTrue="1">
      <formula>IF(AND(ISBLANK(C41),$C$37="Lastschrifteinzug"),TRUE,FALSE)</formula>
    </cfRule>
  </conditionalFormatting>
  <conditionalFormatting sqref="H53">
    <cfRule type="expression" priority="36" dxfId="79" stopIfTrue="1">
      <formula>IF(D53="nein",TRUE,FALSE)</formula>
    </cfRule>
    <cfRule type="expression" priority="79" dxfId="0" stopIfTrue="1">
      <formula>IF(AND(ISBLANK(H53),$D$53="ja"),TRUE,FALSE)</formula>
    </cfRule>
  </conditionalFormatting>
  <conditionalFormatting sqref="K53">
    <cfRule type="expression" priority="35" dxfId="79" stopIfTrue="1">
      <formula>IF(D53="nein",TRUE,FALSE)</formula>
    </cfRule>
    <cfRule type="expression" priority="77" dxfId="0" stopIfTrue="1">
      <formula>IF(AND(ISBLANK(K53),$D$53="ja"),TRUE,FALSE)</formula>
    </cfRule>
  </conditionalFormatting>
  <conditionalFormatting sqref="H55">
    <cfRule type="expression" priority="34" dxfId="79" stopIfTrue="1">
      <formula>IF(D53="nein",TRUE,FALSE)</formula>
    </cfRule>
    <cfRule type="expression" priority="76" dxfId="0" stopIfTrue="1">
      <formula>IF(AND(ISBLANK(H55),$D$53="ja"),TRUE,FALSE)</formula>
    </cfRule>
  </conditionalFormatting>
  <conditionalFormatting sqref="K55">
    <cfRule type="expression" priority="33" dxfId="79" stopIfTrue="1">
      <formula>IF(D53="nein",TRUE,FALSE)</formula>
    </cfRule>
    <cfRule type="expression" priority="75" dxfId="0" stopIfTrue="1">
      <formula>IF(AND(ISBLANK(K55),$D$53="ja"),TRUE,FALSE)</formula>
    </cfRule>
  </conditionalFormatting>
  <conditionalFormatting sqref="H47">
    <cfRule type="expression" priority="74" dxfId="0" stopIfTrue="1">
      <formula>IF(AND(ISBLANK(H47),$D$47="ja"),TRUE,FALSE)</formula>
    </cfRule>
  </conditionalFormatting>
  <conditionalFormatting sqref="H49">
    <cfRule type="expression" priority="73" dxfId="0" stopIfTrue="1">
      <formula>IF(AND(ISBLANK(H49),$D$47="ja"),TRUE,FALSE)</formula>
    </cfRule>
  </conditionalFormatting>
  <conditionalFormatting sqref="D77">
    <cfRule type="expression" priority="72" dxfId="0" stopIfTrue="1">
      <formula>IF(AND(NOT(ISBLANK(D74)),ISBLANK(D77)),TRUE,FALSE)</formula>
    </cfRule>
  </conditionalFormatting>
  <conditionalFormatting sqref="D86">
    <cfRule type="expression" priority="68" dxfId="0" stopIfTrue="1">
      <formula>IF(ISBLANK(D86),TRUE,FALSE)</formula>
    </cfRule>
  </conditionalFormatting>
  <conditionalFormatting sqref="G91">
    <cfRule type="expression" priority="66" dxfId="0" stopIfTrue="1">
      <formula>IF(ISBLANK(G91),TRUE,FALSE)</formula>
    </cfRule>
  </conditionalFormatting>
  <conditionalFormatting sqref="D79">
    <cfRule type="expression" priority="65" dxfId="0" stopIfTrue="1">
      <formula>IF(AND(NOT(ISBLANK(D74)),ISBLANK(D79)),TRUE,FALSE)</formula>
    </cfRule>
  </conditionalFormatting>
  <conditionalFormatting sqref="D81">
    <cfRule type="expression" priority="64" dxfId="0" stopIfTrue="1">
      <formula>IF(AND(NOT(ISBLANK(D74)),ISBLANK(D81)),TRUE,FALSE)</formula>
    </cfRule>
  </conditionalFormatting>
  <conditionalFormatting sqref="D83">
    <cfRule type="expression" priority="63" dxfId="0" stopIfTrue="1">
      <formula>IF(AND(NOT(ISBLANK(D74)),ISBLANK(D83)),TRUE,FALSE)</formula>
    </cfRule>
  </conditionalFormatting>
  <conditionalFormatting sqref="G77">
    <cfRule type="expression" priority="62" dxfId="0" stopIfTrue="1">
      <formula>IF(AND(NOT(ISBLANK(G74)),ISBLANK(G77)),TRUE,FALSE)</formula>
    </cfRule>
  </conditionalFormatting>
  <conditionalFormatting sqref="J77">
    <cfRule type="expression" priority="61" dxfId="0" stopIfTrue="1">
      <formula>IF(AND(NOT(ISBLANK(J74)),ISBLANK(J77)),TRUE,FALSE)</formula>
    </cfRule>
  </conditionalFormatting>
  <conditionalFormatting sqref="G79">
    <cfRule type="expression" priority="60" dxfId="0" stopIfTrue="1">
      <formula>IF(AND(NOT(ISBLANK(G74)),ISBLANK(G79)),TRUE,FALSE)</formula>
    </cfRule>
  </conditionalFormatting>
  <conditionalFormatting sqref="J79">
    <cfRule type="expression" priority="59" dxfId="0" stopIfTrue="1">
      <formula>IF(AND(NOT(ISBLANK(J74)),ISBLANK(J79)),TRUE,FALSE)</formula>
    </cfRule>
  </conditionalFormatting>
  <conditionalFormatting sqref="G83">
    <cfRule type="expression" priority="56" dxfId="0" stopIfTrue="1">
      <formula>IF(AND(NOT(ISBLANK(G74)),ISBLANK(G83)),TRUE,FALSE)</formula>
    </cfRule>
  </conditionalFormatting>
  <conditionalFormatting sqref="J83">
    <cfRule type="expression" priority="55" dxfId="0" stopIfTrue="1">
      <formula>IF(AND(NOT(ISBLANK(J74)),ISBLANK(J83)),TRUE,FALSE)</formula>
    </cfRule>
  </conditionalFormatting>
  <conditionalFormatting sqref="G81">
    <cfRule type="expression" priority="52" dxfId="0" stopIfTrue="1">
      <formula>IF(AND(NOT(ISBLANK(G74)),ISBLANK(G81)),TRUE,FALSE)</formula>
    </cfRule>
  </conditionalFormatting>
  <conditionalFormatting sqref="J81">
    <cfRule type="expression" priority="51" dxfId="0" stopIfTrue="1">
      <formula>IF(AND(NOT(ISBLANK(J74)),ISBLANK(J81)),TRUE,FALSE)</formula>
    </cfRule>
  </conditionalFormatting>
  <conditionalFormatting sqref="D84">
    <cfRule type="expression" priority="49" dxfId="12" stopIfTrue="1">
      <formula>IF(D84="",TRUE,FALSE)</formula>
    </cfRule>
  </conditionalFormatting>
  <conditionalFormatting sqref="G84">
    <cfRule type="expression" priority="45" dxfId="12" stopIfTrue="1">
      <formula>IF(G84="",TRUE,FALSE)</formula>
    </cfRule>
  </conditionalFormatting>
  <conditionalFormatting sqref="J84">
    <cfRule type="expression" priority="44" dxfId="12" stopIfTrue="1">
      <formula>IF(J84="",TRUE,FALSE)</formula>
    </cfRule>
  </conditionalFormatting>
  <conditionalFormatting sqref="H68">
    <cfRule type="expression" priority="43" dxfId="8" stopIfTrue="1">
      <formula>IF(H68="",TRUE,FALSE)</formula>
    </cfRule>
  </conditionalFormatting>
  <conditionalFormatting sqref="K19">
    <cfRule type="expression" priority="168" dxfId="0" stopIfTrue="1">
      <formula>IF(ISBLANK(K19:P19),TRUE,FALSE)</formula>
    </cfRule>
  </conditionalFormatting>
  <conditionalFormatting sqref="I19">
    <cfRule type="expression" priority="169" dxfId="0" stopIfTrue="1">
      <formula>IF(ISBLANK(I19:P19),TRUE,FALSE)</formula>
    </cfRule>
  </conditionalFormatting>
  <conditionalFormatting sqref="J136">
    <cfRule type="expression" priority="42" dxfId="9" stopIfTrue="1">
      <formula>IF(AND($O$132=TRUE,($J$132=0)),TRUE,FALSE)</formula>
    </cfRule>
  </conditionalFormatting>
  <conditionalFormatting sqref="H58">
    <cfRule type="expression" priority="41" dxfId="8" stopIfTrue="1">
      <formula>IF(H58="",TRUE,FALSE)</formula>
    </cfRule>
  </conditionalFormatting>
  <conditionalFormatting sqref="D49">
    <cfRule type="expression" priority="39" dxfId="79" stopIfTrue="1">
      <formula>IF(AND(D49="",$D$47="nein"),TRUE,FALSE)</formula>
    </cfRule>
    <cfRule type="expression" priority="40" dxfId="0" stopIfTrue="1">
      <formula>IF(AND(ISBLANK(D49),$D$47="ja"),TRUE,FALSE)</formula>
    </cfRule>
  </conditionalFormatting>
  <conditionalFormatting sqref="H47:K47">
    <cfRule type="expression" priority="32" dxfId="79" stopIfTrue="1">
      <formula>IF(D47="nein",TRUE,FALSE)</formula>
    </cfRule>
  </conditionalFormatting>
  <conditionalFormatting sqref="H49:K49">
    <cfRule type="expression" priority="31" dxfId="79" stopIfTrue="1">
      <formula>IF(D47="nein",TRUE,FALSE)</formula>
    </cfRule>
  </conditionalFormatting>
  <conditionalFormatting sqref="D96">
    <cfRule type="expression" priority="30" dxfId="0" stopIfTrue="1">
      <formula>IF(ISBLANK(D96),TRUE,FALSE)</formula>
    </cfRule>
  </conditionalFormatting>
  <conditionalFormatting sqref="G96">
    <cfRule type="expression" priority="29" dxfId="0" stopIfTrue="1">
      <formula>IF(ISBLANK(G96),TRUE,FALSE)</formula>
    </cfRule>
  </conditionalFormatting>
  <conditionalFormatting sqref="J96">
    <cfRule type="expression" priority="28" dxfId="0" stopIfTrue="1">
      <formula>IF(ISBLANK(J96),TRUE,FALSE)</formula>
    </cfRule>
  </conditionalFormatting>
  <conditionalFormatting sqref="C41:J41">
    <cfRule type="expression" priority="27" dxfId="79" stopIfTrue="1">
      <formula>IF(AND(C37&lt;&gt;"Bitte wählen",$C$37="Rechnung"),TRUE,FALSE)</formula>
    </cfRule>
  </conditionalFormatting>
  <conditionalFormatting sqref="I39">
    <cfRule type="expression" priority="10" dxfId="12" stopIfTrue="1">
      <formula>IF($C$37="Rechnung",TRUE,FALSE)</formula>
    </cfRule>
    <cfRule type="expression" priority="11" dxfId="12" stopIfTrue="1">
      <formula>IF(AND(ISBLANK(I39),$C$37="Lastschrifteinzug"),TRUE,FALSE)</formula>
    </cfRule>
  </conditionalFormatting>
  <conditionalFormatting sqref="F39">
    <cfRule type="expression" priority="8" dxfId="12" stopIfTrue="1">
      <formula>IF($C$37="Rechnung",TRUE,FALSE)</formula>
    </cfRule>
    <cfRule type="expression" priority="9" dxfId="12" stopIfTrue="1">
      <formula>IF(AND(ISBLANK(F39),$C$37="Lastschrifteinzug"),TRUE,FALSE)</formula>
    </cfRule>
  </conditionalFormatting>
  <conditionalFormatting sqref="D27">
    <cfRule type="expression" priority="7" dxfId="0" stopIfTrue="1">
      <formula>IF(ISBLANK(D27),TRUE,FALSE)</formula>
    </cfRule>
  </conditionalFormatting>
  <conditionalFormatting sqref="E25:K25">
    <cfRule type="expression" priority="5" dxfId="79" stopIfTrue="1">
      <formula>IF(L25=FALSE,TRUE,FALSE)</formula>
    </cfRule>
  </conditionalFormatting>
  <conditionalFormatting sqref="E25:J25">
    <cfRule type="expression" priority="170" dxfId="0" stopIfTrue="1">
      <formula>IF(AND(ISBLANK(E25),L25=TRUE),TRUE,FALSE)</formula>
    </cfRule>
  </conditionalFormatting>
  <conditionalFormatting sqref="J134">
    <cfRule type="expression" priority="4" dxfId="9" stopIfTrue="1">
      <formula>IF(AND(Antragsrechner!#REF!=TRUE,ISBLANK(J134)),TRUE,FALSE)</formula>
    </cfRule>
  </conditionalFormatting>
  <conditionalFormatting sqref="G74:H74">
    <cfRule type="expression" priority="3" dxfId="9" stopIfTrue="1">
      <formula>IF(AND(G72&lt;&gt;"Bitte wählen",ISBLANK(G74)),TRUE,FALSE)</formula>
    </cfRule>
  </conditionalFormatting>
  <conditionalFormatting sqref="D74:E74">
    <cfRule type="expression" priority="2" dxfId="9" stopIfTrue="1">
      <formula>IF(AND(D72&lt;&gt;"Bitte wählen",ISBLANK(D74)),TRUE,FALSE)</formula>
    </cfRule>
  </conditionalFormatting>
  <conditionalFormatting sqref="J74:K74">
    <cfRule type="expression" priority="1" dxfId="9" stopIfTrue="1">
      <formula>IF(AND(J72&lt;&gt;"Bitte wählen",ISBLANK(J74)),TRUE,FALSE)</formula>
    </cfRule>
  </conditionalFormatting>
  <dataValidations count="13">
    <dataValidation type="list" allowBlank="1" showInputMessage="1" showErrorMessage="1" sqref="D86 J61 J63 J65 D47 D53">
      <formula1>"ja,nein"</formula1>
    </dataValidation>
    <dataValidation type="list" allowBlank="1" showInputMessage="1" showErrorMessage="1" sqref="D96 J96:K96 G96:H96">
      <formula1>"Bitte wählen,Vollschutz,Kaskoschutz,Teilschutz"</formula1>
    </dataValidation>
    <dataValidation type="list" allowBlank="1" showInputMessage="1" showErrorMessage="1" sqref="G91">
      <formula1>"E x k l u s i v,P r e m i u m"</formula1>
    </dataValidation>
    <dataValidation type="list" allowBlank="1" showInputMessage="1" showErrorMessage="1" sqref="C35">
      <formula1>"jährlich,halbjährlich,vierteljährlich,monatlich*"</formula1>
    </dataValidation>
    <dataValidation type="list" allowBlank="1" showInputMessage="1" showErrorMessage="1" sqref="C37:D37">
      <formula1>"Rechnung,Lastschrifteinzug"</formula1>
    </dataValidation>
    <dataValidation type="list" showInputMessage="1" showErrorMessage="1" sqref="D49">
      <formula1>$B$475:$B$478</formula1>
    </dataValidation>
    <dataValidation type="list" allowBlank="1" showInputMessage="1" showErrorMessage="1" sqref="D72:E72 G72:H72 J72:K72">
      <formula1>"Bitte wählen,Erntemaschinen,Zugmaschinen,Arbeitsmaschinen,Anhänger,Anbaugeräte,Ladegeräte,Spezialfahrzeuge"</formula1>
    </dataValidation>
    <dataValidation type="whole" allowBlank="1" showInputMessage="1" showErrorMessage="1" error="Bitte überprüfen Sie die Eingabe" sqref="D81:E81 G81:H81 J81:K81">
      <formula1>1900</formula1>
      <formula2>YEAR(TODAY())</formula2>
    </dataValidation>
    <dataValidation type="list" allowBlank="1" showInputMessage="1" showErrorMessage="1" sqref="J119 D119 G119">
      <formula1>"Standard, halbiert,verdoppelt"</formula1>
    </dataValidation>
    <dataValidation type="list" allowBlank="1" showInputMessage="1" showErrorMessage="1" sqref="D27:G27">
      <formula1>"   Deutschland,      Deutschland &amp; Anrainerländer"</formula1>
    </dataValidation>
    <dataValidation type="list" allowBlank="1" showInputMessage="1" showErrorMessage="1" sqref="J74:K74 D74:E74 G74:H74">
      <formula1>OFFSET($S$470:$Y$506,1,MATCH(J$72,$S$470:$Y$470,0)-1,COUNTA(INDEX($S$470:$Y$506,,MATCH(J$72,$S$470:$Y$470,0)))-1,1)</formula1>
    </dataValidation>
    <dataValidation type="decimal" allowBlank="1" showInputMessage="1" showErrorMessage="1" error="Bitte negativen Prozentsatz eingeben (max. -10%)" sqref="J136">
      <formula1>-0.1</formula1>
      <formula2>0</formula2>
    </dataValidation>
    <dataValidation type="decimal" allowBlank="1" showInputMessage="1" showErrorMessage="1" error="Bitte negativen Prozentsatz eingeben (max. -25%)" sqref="J132">
      <formula1>-0.25</formula1>
      <formula2>0</formula2>
    </dataValidation>
  </dataValidations>
  <hyperlinks>
    <hyperlink ref="C13" r:id="rId1" display="TV-Underwriting@Inter.de"/>
  </hyperlinks>
  <printOptions/>
  <pageMargins left="0.3937007874015748" right="0.3937007874015748" top="0.3937007874015748" bottom="0" header="0.11811023622047245" footer="0.11811023622047245"/>
  <pageSetup horizontalDpi="600" verticalDpi="600" orientation="portrait" paperSize="9" scale="99" r:id="rId4"/>
  <rowBreaks count="1" manualBreakCount="1">
    <brk id="90" max="10" man="1"/>
  </rowBreaks>
  <ignoredErrors>
    <ignoredError sqref="H13 D75:K75 H58 E102:H102 I102:K102 G84 E93 H93 K93 E98 H98 K98 J86 J84 H68 C132 J130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44"/>
  <sheetViews>
    <sheetView showGridLines="0" zoomScale="85" zoomScaleNormal="85" zoomScalePageLayoutView="0" workbookViewId="0" topLeftCell="D79">
      <selection activeCell="G88" sqref="G88"/>
    </sheetView>
  </sheetViews>
  <sheetFormatPr defaultColWidth="11.421875" defaultRowHeight="13.5" customHeight="1"/>
  <cols>
    <col min="1" max="1" width="15.57421875" style="1" customWidth="1"/>
    <col min="2" max="2" width="26.8515625" style="1" bestFit="1" customWidth="1"/>
    <col min="3" max="3" width="27.421875" style="1" bestFit="1" customWidth="1"/>
    <col min="4" max="4" width="22.57421875" style="1" bestFit="1" customWidth="1"/>
    <col min="5" max="5" width="25.140625" style="174" bestFit="1" customWidth="1"/>
    <col min="6" max="6" width="27.421875" style="1" bestFit="1" customWidth="1"/>
    <col min="7" max="7" width="26.00390625" style="1" bestFit="1" customWidth="1"/>
    <col min="8" max="8" width="24.57421875" style="1" bestFit="1" customWidth="1"/>
    <col min="9" max="9" width="15.8515625" style="1" bestFit="1" customWidth="1"/>
    <col min="10" max="10" width="15.57421875" style="1" customWidth="1"/>
    <col min="11" max="11" width="14.421875" style="1" bestFit="1" customWidth="1"/>
    <col min="12" max="14" width="11.421875" style="1" customWidth="1"/>
    <col min="15" max="15" width="5.00390625" style="1" customWidth="1"/>
    <col min="16" max="16384" width="11.421875" style="1" customWidth="1"/>
  </cols>
  <sheetData>
    <row r="1" ht="13.5" customHeight="1"/>
    <row r="2" spans="1:10" ht="32.25" customHeight="1">
      <c r="A2" s="21"/>
      <c r="B2" s="21"/>
      <c r="C2" s="21"/>
      <c r="D2" s="468" t="str">
        <f>Antragsrechner!G91</f>
        <v>P r e m i u m</v>
      </c>
      <c r="E2" s="468"/>
      <c r="F2" s="468"/>
      <c r="G2" s="468"/>
      <c r="H2" s="21"/>
      <c r="I2" s="4"/>
      <c r="J2" s="4"/>
    </row>
    <row r="3" spans="1:11" ht="13.5" customHeight="1">
      <c r="A3" s="77" t="s">
        <v>118</v>
      </c>
      <c r="B3" s="76"/>
      <c r="C3" s="83"/>
      <c r="D3" s="83"/>
      <c r="E3" s="175"/>
      <c r="F3" s="84"/>
      <c r="G3" s="84"/>
      <c r="H3" s="83"/>
      <c r="I3" s="84"/>
      <c r="J3" s="84"/>
      <c r="K3"/>
    </row>
    <row r="4" spans="1:10" ht="13.5" customHeight="1">
      <c r="A4" s="25"/>
      <c r="B4" s="25"/>
      <c r="C4" s="84"/>
      <c r="D4" s="84"/>
      <c r="E4" s="175"/>
      <c r="F4" s="228" t="s">
        <v>292</v>
      </c>
      <c r="G4" s="81" t="b">
        <v>1</v>
      </c>
      <c r="H4" s="84"/>
      <c r="I4" s="85"/>
      <c r="J4" s="85"/>
    </row>
    <row r="5" spans="1:10" ht="13.5" customHeight="1">
      <c r="A5" s="25" t="s">
        <v>120</v>
      </c>
      <c r="B5" s="58"/>
      <c r="C5" s="81"/>
      <c r="D5" s="81" t="b">
        <v>1</v>
      </c>
      <c r="E5" s="175"/>
      <c r="F5" s="81"/>
      <c r="G5" s="81" t="b">
        <v>0</v>
      </c>
      <c r="H5" s="83"/>
      <c r="I5" s="460"/>
      <c r="J5" s="368"/>
    </row>
    <row r="6" spans="1:10" ht="13.5" customHeight="1">
      <c r="A6" s="26"/>
      <c r="B6" s="26"/>
      <c r="C6" s="85"/>
      <c r="D6" s="85"/>
      <c r="E6" s="176"/>
      <c r="F6" s="85"/>
      <c r="G6" s="85"/>
      <c r="H6" s="85"/>
      <c r="I6" s="85"/>
      <c r="J6" s="85"/>
    </row>
    <row r="7" spans="1:10" ht="13.5" customHeight="1">
      <c r="A7" s="6"/>
      <c r="B7" s="6"/>
      <c r="C7" s="6"/>
      <c r="D7" s="6"/>
      <c r="E7" s="177"/>
      <c r="F7" s="6"/>
      <c r="G7" s="6"/>
      <c r="H7" s="6"/>
      <c r="I7" s="6"/>
      <c r="J7" s="6"/>
    </row>
    <row r="8" spans="1:10" ht="13.5" customHeight="1">
      <c r="A8" s="349" t="s">
        <v>72</v>
      </c>
      <c r="B8" s="349"/>
      <c r="C8" s="349"/>
      <c r="D8" s="349"/>
      <c r="E8" s="178"/>
      <c r="F8" s="25"/>
      <c r="G8" s="25"/>
      <c r="H8" s="59"/>
      <c r="I8" s="25"/>
      <c r="J8" s="25"/>
    </row>
    <row r="9" spans="1:10" ht="13.5" customHeight="1">
      <c r="A9" s="26"/>
      <c r="B9" s="26"/>
      <c r="C9" s="85"/>
      <c r="D9" s="85"/>
      <c r="E9" s="176"/>
      <c r="F9" s="85">
        <v>1</v>
      </c>
      <c r="G9" s="173">
        <v>0</v>
      </c>
      <c r="H9" s="85"/>
      <c r="I9" s="86" t="b">
        <v>1</v>
      </c>
      <c r="J9" s="85"/>
    </row>
    <row r="10" spans="1:10" ht="14.25" customHeight="1">
      <c r="A10" s="25" t="s">
        <v>119</v>
      </c>
      <c r="B10" s="25"/>
      <c r="C10" s="85"/>
      <c r="D10" s="88">
        <f>YEAR(Antragsrechner!G33)-YEAR(Antragsrechner!C33)</f>
        <v>0</v>
      </c>
      <c r="E10" s="200" t="s">
        <v>289</v>
      </c>
      <c r="F10" s="84">
        <v>2</v>
      </c>
      <c r="G10" s="173">
        <v>0.03</v>
      </c>
      <c r="H10" s="85"/>
      <c r="I10" s="85"/>
      <c r="J10" s="85"/>
    </row>
    <row r="11" spans="1:10" ht="13.5" customHeight="1">
      <c r="A11" s="25" t="s">
        <v>17</v>
      </c>
      <c r="B11" s="25" t="s">
        <v>122</v>
      </c>
      <c r="C11" s="88"/>
      <c r="D11" s="88">
        <f>IF(Antragsrechner!C35="jährlich",1,IF(Antragsrechner!C35="halbjährlich",2,IF(Antragsrechner!C35="vierteljährlich",4,IF(Antragsrechner!C35="monatlich",12))))</f>
        <v>1</v>
      </c>
      <c r="E11" s="201">
        <f>VLOOKUP(D11,F9:G12,2,FALSE)</f>
        <v>0</v>
      </c>
      <c r="F11" s="83">
        <v>4</v>
      </c>
      <c r="G11" s="173">
        <v>0.05</v>
      </c>
      <c r="H11" s="83"/>
      <c r="I11" s="459"/>
      <c r="J11" s="459"/>
    </row>
    <row r="12" spans="1:10" ht="13.5" customHeight="1">
      <c r="A12" s="26"/>
      <c r="B12" s="26"/>
      <c r="C12" s="85"/>
      <c r="D12" s="85"/>
      <c r="E12" s="176"/>
      <c r="F12" s="85">
        <v>12</v>
      </c>
      <c r="G12" s="173">
        <v>0.1</v>
      </c>
      <c r="H12" s="85"/>
      <c r="I12" s="85"/>
      <c r="J12" s="85"/>
    </row>
    <row r="13" spans="1:10" ht="13.5" customHeight="1">
      <c r="A13" s="4"/>
      <c r="B13" s="4"/>
      <c r="C13" s="4"/>
      <c r="D13" s="4"/>
      <c r="E13" s="179"/>
      <c r="F13" s="4"/>
      <c r="G13" s="4"/>
      <c r="H13" s="4"/>
      <c r="I13" s="4"/>
      <c r="J13" s="4"/>
    </row>
    <row r="14" spans="1:10" ht="13.5" customHeight="1">
      <c r="A14" s="77" t="s">
        <v>73</v>
      </c>
      <c r="B14" s="77"/>
      <c r="C14" s="77"/>
      <c r="D14" s="26"/>
      <c r="E14" s="180"/>
      <c r="F14" s="26"/>
      <c r="G14" s="26"/>
      <c r="H14" s="26"/>
      <c r="I14" s="26"/>
      <c r="J14" s="26"/>
    </row>
    <row r="15" spans="1:10" ht="13.5" customHeight="1">
      <c r="A15" s="26"/>
      <c r="B15" s="26"/>
      <c r="C15" s="94"/>
      <c r="D15" s="94"/>
      <c r="E15" s="181"/>
      <c r="F15" s="85"/>
      <c r="G15" s="85"/>
      <c r="H15" s="85"/>
      <c r="I15" s="85"/>
      <c r="J15" s="85"/>
    </row>
    <row r="16" spans="1:10" ht="13.5" customHeight="1">
      <c r="A16" s="25" t="s">
        <v>21</v>
      </c>
      <c r="B16" s="25"/>
      <c r="C16" s="133">
        <f>Antragsrechner!D47</f>
        <v>0</v>
      </c>
      <c r="D16" s="84"/>
      <c r="E16" s="175"/>
      <c r="F16" s="84"/>
      <c r="G16" s="84"/>
      <c r="H16" s="84"/>
      <c r="I16" s="84"/>
      <c r="J16" s="84"/>
    </row>
    <row r="17" spans="1:10" ht="13.5" customHeight="1">
      <c r="A17" s="25" t="s">
        <v>185</v>
      </c>
      <c r="B17" s="25"/>
      <c r="C17" s="134">
        <f>Antragsrechner!D49</f>
        <v>0</v>
      </c>
      <c r="D17" s="84"/>
      <c r="E17" s="175"/>
      <c r="F17" s="84"/>
      <c r="G17" s="93" t="s">
        <v>125</v>
      </c>
      <c r="H17" s="93"/>
      <c r="I17" s="93" t="s">
        <v>126</v>
      </c>
      <c r="J17" s="84"/>
    </row>
    <row r="18" spans="1:10" ht="13.5" customHeight="1">
      <c r="A18" s="338" t="s">
        <v>45</v>
      </c>
      <c r="B18" s="338"/>
      <c r="C18" s="134">
        <f>Antragsrechner!D53</f>
        <v>0</v>
      </c>
      <c r="D18" s="83"/>
      <c r="E18" s="175"/>
      <c r="F18" s="83"/>
      <c r="G18" s="87">
        <f>Antragsrechner!H53</f>
        <v>0</v>
      </c>
      <c r="H18" s="95"/>
      <c r="I18" s="97">
        <f>Antragsrechner!K53</f>
        <v>0</v>
      </c>
      <c r="J18" s="85"/>
    </row>
    <row r="19" spans="1:10" ht="13.5" customHeight="1">
      <c r="A19" s="120"/>
      <c r="B19" s="120"/>
      <c r="C19" s="129"/>
      <c r="D19" s="83"/>
      <c r="E19" s="175"/>
      <c r="F19" s="83"/>
      <c r="G19" s="87"/>
      <c r="H19" s="95"/>
      <c r="I19" s="97"/>
      <c r="J19" s="85"/>
    </row>
    <row r="20" spans="1:10" ht="13.5" customHeight="1">
      <c r="A20" s="4"/>
      <c r="B20" s="4"/>
      <c r="C20" s="4"/>
      <c r="D20" s="4"/>
      <c r="E20" s="179"/>
      <c r="F20" s="4"/>
      <c r="G20" s="4"/>
      <c r="H20" s="4"/>
      <c r="I20" s="4"/>
      <c r="J20" s="4"/>
    </row>
    <row r="21" spans="1:10" ht="13.5" customHeight="1">
      <c r="A21" s="121" t="s">
        <v>74</v>
      </c>
      <c r="B21" s="121"/>
      <c r="C21" s="121"/>
      <c r="D21" s="26"/>
      <c r="E21" s="180"/>
      <c r="F21" s="26"/>
      <c r="G21" s="26"/>
      <c r="H21" s="26"/>
      <c r="I21" s="26"/>
      <c r="J21" s="26"/>
    </row>
    <row r="22" spans="1:10" ht="13.5" customHeight="1">
      <c r="A22" s="120"/>
      <c r="B22" s="120"/>
      <c r="C22" s="129"/>
      <c r="D22" s="83"/>
      <c r="E22" s="175"/>
      <c r="F22" s="83"/>
      <c r="G22" s="87"/>
      <c r="H22" s="95"/>
      <c r="I22" s="97"/>
      <c r="J22" s="85"/>
    </row>
    <row r="23" spans="1:13" ht="13.5" customHeight="1">
      <c r="A23" s="131" t="s">
        <v>186</v>
      </c>
      <c r="B23" s="131"/>
      <c r="C23" s="134">
        <f>Antragsrechner!J61</f>
        <v>0</v>
      </c>
      <c r="D23" s="129"/>
      <c r="E23" s="182"/>
      <c r="F23" s="129"/>
      <c r="G23" s="129"/>
      <c r="H23" s="95"/>
      <c r="I23" s="97"/>
      <c r="J23" s="85"/>
      <c r="M23" s="90"/>
    </row>
    <row r="24" spans="1:10" ht="13.5" customHeight="1">
      <c r="A24" s="131"/>
      <c r="B24" s="131"/>
      <c r="C24" s="133"/>
      <c r="D24" s="129"/>
      <c r="E24" s="182"/>
      <c r="F24" s="129"/>
      <c r="G24" s="129"/>
      <c r="H24" s="95"/>
      <c r="I24" s="97"/>
      <c r="J24" s="85"/>
    </row>
    <row r="25" spans="1:10" ht="13.5" customHeight="1">
      <c r="A25" s="132" t="s">
        <v>187</v>
      </c>
      <c r="B25" s="131"/>
      <c r="C25" s="134">
        <f>Antragsrechner!J63</f>
        <v>0</v>
      </c>
      <c r="D25" s="129"/>
      <c r="E25" s="182"/>
      <c r="F25" s="129"/>
      <c r="G25" s="129"/>
      <c r="H25" s="95"/>
      <c r="I25" s="97"/>
      <c r="J25" s="85"/>
    </row>
    <row r="26" spans="1:10" ht="13.5" customHeight="1">
      <c r="A26" s="131"/>
      <c r="B26" s="131"/>
      <c r="C26" s="133"/>
      <c r="D26" s="129"/>
      <c r="E26" s="182"/>
      <c r="F26" s="129"/>
      <c r="G26" s="129"/>
      <c r="H26" s="95"/>
      <c r="I26" s="97"/>
      <c r="J26" s="85"/>
    </row>
    <row r="27" spans="1:10" ht="13.5" customHeight="1">
      <c r="A27" s="141" t="s">
        <v>192</v>
      </c>
      <c r="B27" s="131"/>
      <c r="C27" s="134">
        <f>Antragsrechner!J65</f>
        <v>0</v>
      </c>
      <c r="D27" s="129"/>
      <c r="E27" s="182"/>
      <c r="F27" s="129"/>
      <c r="G27" s="129"/>
      <c r="H27" s="95"/>
      <c r="I27" s="97"/>
      <c r="J27" s="85"/>
    </row>
    <row r="28" spans="1:10" ht="13.5" customHeight="1">
      <c r="A28" s="131"/>
      <c r="B28" s="131"/>
      <c r="C28" s="133"/>
      <c r="D28" s="129"/>
      <c r="E28" s="182"/>
      <c r="F28" s="129"/>
      <c r="G28" s="129"/>
      <c r="H28" s="95"/>
      <c r="I28" s="97"/>
      <c r="J28" s="85"/>
    </row>
    <row r="29" spans="1:10" ht="13.5" customHeight="1">
      <c r="A29" s="120"/>
      <c r="B29" s="120"/>
      <c r="C29" s="129"/>
      <c r="D29" s="83"/>
      <c r="E29" s="175"/>
      <c r="F29" s="83"/>
      <c r="G29" s="87"/>
      <c r="H29" s="95"/>
      <c r="I29" s="97"/>
      <c r="J29" s="85"/>
    </row>
    <row r="30" spans="1:10" ht="13.5" customHeight="1">
      <c r="A30" s="4"/>
      <c r="B30" s="4"/>
      <c r="C30" s="4"/>
      <c r="D30" s="4"/>
      <c r="E30" s="179"/>
      <c r="F30" s="4"/>
      <c r="G30" s="4"/>
      <c r="H30" s="4"/>
      <c r="I30" s="4"/>
      <c r="J30" s="4"/>
    </row>
    <row r="31" spans="1:10" ht="13.5" customHeight="1">
      <c r="A31" s="388" t="s">
        <v>75</v>
      </c>
      <c r="B31" s="388"/>
      <c r="C31" s="388"/>
      <c r="D31" s="26"/>
      <c r="E31" s="180"/>
      <c r="F31" s="26"/>
      <c r="G31" s="26"/>
      <c r="H31" s="26"/>
      <c r="I31" s="26"/>
      <c r="J31" s="26"/>
    </row>
    <row r="32" spans="1:10" ht="13.5" customHeight="1">
      <c r="A32" s="122"/>
      <c r="B32" s="122"/>
      <c r="C32" s="122"/>
      <c r="D32" s="26"/>
      <c r="E32" s="180"/>
      <c r="F32" s="26"/>
      <c r="G32" s="26"/>
      <c r="H32" s="26"/>
      <c r="I32" s="26"/>
      <c r="J32" s="26"/>
    </row>
    <row r="33" spans="1:10" ht="13.5" customHeight="1">
      <c r="A33" s="122"/>
      <c r="B33" s="122"/>
      <c r="C33" s="122"/>
      <c r="D33" s="26"/>
      <c r="E33" s="180"/>
      <c r="F33" s="26"/>
      <c r="G33" s="26"/>
      <c r="H33" s="26"/>
      <c r="I33" s="26"/>
      <c r="J33" s="26"/>
    </row>
    <row r="34" spans="1:10" ht="13.5" customHeight="1">
      <c r="A34" s="122"/>
      <c r="B34" s="122"/>
      <c r="C34" s="122"/>
      <c r="D34" s="26"/>
      <c r="E34" s="180"/>
      <c r="F34" s="26"/>
      <c r="G34" s="26"/>
      <c r="H34" s="26"/>
      <c r="I34" s="26"/>
      <c r="J34" s="26"/>
    </row>
    <row r="35" spans="1:10" ht="13.5" customHeight="1">
      <c r="A35" s="135" t="s">
        <v>110</v>
      </c>
      <c r="B35" s="135"/>
      <c r="C35" s="462" t="str">
        <f>Antragsrechner!D72</f>
        <v>Bitte wählen</v>
      </c>
      <c r="D35" s="462"/>
      <c r="E35" s="183"/>
      <c r="F35" s="462" t="str">
        <f>Antragsrechner!G72</f>
        <v>Bitte wählen</v>
      </c>
      <c r="G35" s="462"/>
      <c r="H35" s="461" t="str">
        <f>Antragsrechner!J72</f>
        <v>Bitte wählen</v>
      </c>
      <c r="I35" s="461"/>
      <c r="J35" s="461"/>
    </row>
    <row r="36" spans="1:10" ht="13.5" customHeight="1">
      <c r="A36" s="136" t="s">
        <v>190</v>
      </c>
      <c r="B36" s="136"/>
      <c r="C36" s="469">
        <f ca="1">YEAR(TODAY())-Antragsrechner!D81</f>
        <v>2022</v>
      </c>
      <c r="D36" s="461"/>
      <c r="E36" s="183"/>
      <c r="F36" s="469">
        <f ca="1">YEAR(TODAY())-Antragsrechner!G81</f>
        <v>2022</v>
      </c>
      <c r="G36" s="461"/>
      <c r="H36" s="469">
        <f ca="1">YEAR(TODAY())-Antragsrechner!J81</f>
        <v>2022</v>
      </c>
      <c r="I36" s="461"/>
      <c r="J36" s="139"/>
    </row>
    <row r="37" spans="1:10" ht="13.5" customHeight="1">
      <c r="A37" s="25" t="s">
        <v>5</v>
      </c>
      <c r="B37" s="58"/>
      <c r="C37" s="360" t="s">
        <v>62</v>
      </c>
      <c r="D37" s="360"/>
      <c r="E37" s="160"/>
      <c r="F37" s="360" t="s">
        <v>63</v>
      </c>
      <c r="G37" s="360"/>
      <c r="H37" s="60"/>
      <c r="I37" s="360" t="s">
        <v>64</v>
      </c>
      <c r="J37" s="360"/>
    </row>
    <row r="38" spans="1:10" ht="13.5" customHeight="1">
      <c r="A38" s="66"/>
      <c r="B38" s="67"/>
      <c r="C38" s="85"/>
      <c r="D38" s="85"/>
      <c r="E38" s="175"/>
      <c r="F38" s="85"/>
      <c r="G38" s="85"/>
      <c r="H38" s="81"/>
      <c r="I38" s="85"/>
      <c r="J38" s="85"/>
    </row>
    <row r="39" spans="1:10" ht="13.5" customHeight="1">
      <c r="A39" s="458" t="s">
        <v>111</v>
      </c>
      <c r="B39" s="458" t="s">
        <v>5</v>
      </c>
      <c r="C39" s="455">
        <f>Antragsrechner!D83</f>
        <v>0</v>
      </c>
      <c r="D39" s="456"/>
      <c r="E39" s="184"/>
      <c r="F39" s="455">
        <f>Antragsrechner!G83</f>
        <v>0</v>
      </c>
      <c r="G39" s="456"/>
      <c r="H39" s="98"/>
      <c r="I39" s="455">
        <f>Antragsrechner!J83</f>
        <v>0</v>
      </c>
      <c r="J39" s="456"/>
    </row>
    <row r="40" spans="1:10" ht="13.5" customHeight="1">
      <c r="A40" s="25"/>
      <c r="B40" s="26"/>
      <c r="C40" s="91"/>
      <c r="D40" s="91"/>
      <c r="E40" s="176"/>
      <c r="F40" s="91"/>
      <c r="G40" s="91"/>
      <c r="H40" s="91"/>
      <c r="I40" s="91" t="s">
        <v>56</v>
      </c>
      <c r="J40" s="92"/>
    </row>
    <row r="41" spans="1:10" ht="13.5" customHeight="1">
      <c r="A41" s="262"/>
      <c r="B41" s="262"/>
      <c r="C41" s="262"/>
      <c r="D41" s="262"/>
      <c r="E41" s="262"/>
      <c r="F41" s="262"/>
      <c r="G41" s="262"/>
      <c r="H41" s="262"/>
      <c r="I41" s="262"/>
      <c r="J41" s="262"/>
    </row>
    <row r="42" spans="1:10" ht="13.5" customHeight="1">
      <c r="A42" s="26"/>
      <c r="B42" s="26"/>
      <c r="C42" s="26"/>
      <c r="D42" s="26"/>
      <c r="E42" s="180"/>
      <c r="F42" s="26"/>
      <c r="G42" s="26"/>
      <c r="H42" s="26"/>
      <c r="I42" s="26"/>
      <c r="J42" s="26"/>
    </row>
    <row r="43" spans="1:16" ht="13.5" customHeight="1">
      <c r="A43" s="4"/>
      <c r="B43" s="4"/>
      <c r="C43" s="4"/>
      <c r="D43" s="4"/>
      <c r="E43" s="179"/>
      <c r="F43" s="4"/>
      <c r="G43" s="4" t="b">
        <v>1</v>
      </c>
      <c r="H43" s="4"/>
      <c r="I43" s="4"/>
      <c r="J43" s="4"/>
      <c r="P43" s="354"/>
    </row>
    <row r="44" spans="1:16" ht="13.5" customHeight="1">
      <c r="A44" s="349" t="s">
        <v>76</v>
      </c>
      <c r="B44" s="349"/>
      <c r="C44" s="349"/>
      <c r="D44" s="33" t="s">
        <v>57</v>
      </c>
      <c r="E44" s="185"/>
      <c r="F44" s="75"/>
      <c r="G44" s="61"/>
      <c r="H44" s="57"/>
      <c r="I44" s="61"/>
      <c r="J44" s="35"/>
      <c r="P44" s="354"/>
    </row>
    <row r="45" spans="1:16" ht="13.5" customHeight="1" thickBot="1">
      <c r="A45" s="26"/>
      <c r="B45" s="26"/>
      <c r="C45" s="26"/>
      <c r="D45" s="26"/>
      <c r="E45" s="180"/>
      <c r="F45" s="26"/>
      <c r="G45" s="26"/>
      <c r="H45" s="26"/>
      <c r="I45" s="26"/>
      <c r="J45" s="26"/>
      <c r="K45" s="327"/>
      <c r="L45" s="324" t="s">
        <v>66</v>
      </c>
      <c r="M45" s="316" t="s">
        <v>67</v>
      </c>
      <c r="N45" s="316" t="s">
        <v>68</v>
      </c>
      <c r="P45" s="466"/>
    </row>
    <row r="46" spans="1:16" ht="13.5" customHeight="1">
      <c r="A46" s="278"/>
      <c r="B46" s="25"/>
      <c r="C46" s="235"/>
      <c r="D46" s="25"/>
      <c r="E46" s="25"/>
      <c r="F46" s="25"/>
      <c r="G46" s="25"/>
      <c r="H46" s="25"/>
      <c r="I46" s="25"/>
      <c r="J46" s="25"/>
      <c r="K46" s="328" t="s">
        <v>358</v>
      </c>
      <c r="L46" s="145"/>
      <c r="M46" s="317"/>
      <c r="N46" s="317"/>
      <c r="P46" s="463">
        <f>SUM(L47:N50)</f>
        <v>0</v>
      </c>
    </row>
    <row r="47" spans="1:18" s="11" customFormat="1" ht="13.5" customHeight="1">
      <c r="A47" s="267"/>
      <c r="B47" s="276"/>
      <c r="C47" s="275" t="s">
        <v>317</v>
      </c>
      <c r="D47" s="276"/>
      <c r="E47" s="275" t="s">
        <v>315</v>
      </c>
      <c r="F47" s="276"/>
      <c r="G47" s="275" t="s">
        <v>316</v>
      </c>
      <c r="H47" s="276"/>
      <c r="I47" s="25"/>
      <c r="J47" s="82"/>
      <c r="K47" s="329" t="s">
        <v>359</v>
      </c>
      <c r="L47" s="325">
        <f>Antragsrechner!E105</f>
        <v>0</v>
      </c>
      <c r="M47" s="319">
        <f>Antragsrechner!H105</f>
        <v>0</v>
      </c>
      <c r="N47" s="319">
        <f>Antragsrechner!K105</f>
        <v>0</v>
      </c>
      <c r="P47" s="464"/>
      <c r="Q47" s="467" t="s">
        <v>366</v>
      </c>
      <c r="R47" s="343"/>
    </row>
    <row r="48" spans="1:16" ht="13.5" customHeight="1">
      <c r="A48" s="278"/>
      <c r="B48" s="253"/>
      <c r="C48" s="25"/>
      <c r="D48" s="253"/>
      <c r="E48" s="25"/>
      <c r="F48" s="253"/>
      <c r="G48" s="25"/>
      <c r="H48" s="253"/>
      <c r="I48" s="25"/>
      <c r="J48" s="25"/>
      <c r="K48" s="330" t="s">
        <v>360</v>
      </c>
      <c r="L48" s="325">
        <f>Antragsrechner!E111</f>
        <v>0</v>
      </c>
      <c r="M48" s="319">
        <f>Antragsrechner!H111</f>
        <v>0</v>
      </c>
      <c r="N48" s="319">
        <f>Antragsrechner!K111</f>
        <v>0</v>
      </c>
      <c r="P48" s="464"/>
    </row>
    <row r="49" spans="1:16" ht="13.5" customHeight="1" thickBot="1">
      <c r="A49" s="403" t="s">
        <v>339</v>
      </c>
      <c r="B49" s="457"/>
      <c r="C49" s="25" t="b">
        <v>0</v>
      </c>
      <c r="D49" s="253"/>
      <c r="E49" s="25" t="b">
        <v>0</v>
      </c>
      <c r="F49" s="253"/>
      <c r="G49" s="25" t="b">
        <v>0</v>
      </c>
      <c r="H49" s="253"/>
      <c r="I49" s="25"/>
      <c r="J49" s="25"/>
      <c r="K49" s="330" t="s">
        <v>361</v>
      </c>
      <c r="L49" s="325">
        <f>Antragsrechner!E114</f>
        <v>0</v>
      </c>
      <c r="M49" s="319">
        <f>Antragsrechner!H114</f>
        <v>0</v>
      </c>
      <c r="N49" s="319">
        <f>Antragsrechner!K114</f>
        <v>0</v>
      </c>
      <c r="P49" s="465"/>
    </row>
    <row r="50" spans="1:14" ht="13.5" customHeight="1">
      <c r="A50" s="278"/>
      <c r="B50" s="253"/>
      <c r="C50" s="25"/>
      <c r="D50" s="254">
        <f>IF(Antragsrechner!E102&lt;&gt;"",Antragsrechner!E102+Antragsrechner!E105,0)</f>
        <v>0</v>
      </c>
      <c r="E50" s="25"/>
      <c r="F50" s="254">
        <f>IF(Antragsrechner!H102&lt;&gt;"",Antragsrechner!H102+Antragsrechner!H105,0)</f>
        <v>0</v>
      </c>
      <c r="G50" s="25"/>
      <c r="H50" s="254">
        <f>IF(Antragsrechner!K102&lt;&gt;"",Antragsrechner!K102+Antragsrechner!K105,0)</f>
        <v>0</v>
      </c>
      <c r="I50" s="25"/>
      <c r="J50" s="25"/>
      <c r="K50" s="331" t="s">
        <v>362</v>
      </c>
      <c r="L50" s="326">
        <f>IF(Antragsrechner!E120&gt;0,Antragsrechner!E120,0)</f>
        <v>0</v>
      </c>
      <c r="M50" s="320">
        <f>IF(Antragsrechner!H120&gt;0,Antragsrechner!H120,0)</f>
        <v>0</v>
      </c>
      <c r="N50" s="320">
        <f>IF(Antragsrechner!K120&gt;0,Antragsrechner!K120,0)</f>
        <v>0</v>
      </c>
    </row>
    <row r="51" spans="1:14" ht="13.5" customHeight="1">
      <c r="A51" s="403" t="s">
        <v>340</v>
      </c>
      <c r="B51" s="457"/>
      <c r="C51" s="25" t="b">
        <v>0</v>
      </c>
      <c r="D51" s="303">
        <f ca="1">IF(Antragsrechner!D72&lt;&gt;"Bitte wählen",YEAR(TODAY())-Antragsrechner!D81,0)</f>
        <v>0</v>
      </c>
      <c r="E51" s="25" t="b">
        <v>0</v>
      </c>
      <c r="F51" s="303">
        <f ca="1">IF(Antragsrechner!G72&lt;&gt;"Bitte wählen",YEAR(TODAY())-Antragsrechner!G81,0)</f>
        <v>0</v>
      </c>
      <c r="G51" s="25" t="b">
        <v>0</v>
      </c>
      <c r="H51" s="303">
        <f ca="1">IF(Antragsrechner!J72&lt;&gt;"Bitte wählen",YEAR(TODAY())-Antragsrechner!J81,0)</f>
        <v>0</v>
      </c>
      <c r="I51" s="25"/>
      <c r="J51" s="304"/>
      <c r="K51" s="315"/>
      <c r="L51" s="321"/>
      <c r="M51" s="321"/>
      <c r="N51" s="321"/>
    </row>
    <row r="52" spans="1:14" ht="13.5" customHeight="1" thickBot="1">
      <c r="A52" s="278"/>
      <c r="B52" s="253"/>
      <c r="C52" s="25"/>
      <c r="D52" s="254">
        <f>D50+Antragsrechner!E108</f>
        <v>0</v>
      </c>
      <c r="E52" s="25"/>
      <c r="F52" s="254">
        <f>F50+Antragsrechner!H108</f>
        <v>0</v>
      </c>
      <c r="G52" s="25"/>
      <c r="H52" s="254">
        <f>H50+Antragsrechner!K108</f>
        <v>0</v>
      </c>
      <c r="I52" s="25"/>
      <c r="J52" s="25"/>
      <c r="K52" s="103"/>
      <c r="L52" s="322"/>
      <c r="M52" s="322"/>
      <c r="N52" s="322"/>
    </row>
    <row r="53" spans="1:16" ht="13.5" customHeight="1">
      <c r="A53" s="311" t="s">
        <v>341</v>
      </c>
      <c r="B53" s="312">
        <v>15</v>
      </c>
      <c r="C53" s="25" t="b">
        <v>0</v>
      </c>
      <c r="D53" s="253"/>
      <c r="E53" s="25" t="b">
        <v>0</v>
      </c>
      <c r="F53" s="253"/>
      <c r="G53" s="25" t="b">
        <v>0</v>
      </c>
      <c r="H53" s="253"/>
      <c r="I53" s="25"/>
      <c r="J53" s="25"/>
      <c r="K53" s="328" t="s">
        <v>363</v>
      </c>
      <c r="L53" s="332"/>
      <c r="M53" s="323"/>
      <c r="N53" s="323"/>
      <c r="P53" s="463">
        <f>SUM(L54:N56)</f>
        <v>0</v>
      </c>
    </row>
    <row r="54" spans="1:18" ht="13.5" customHeight="1">
      <c r="A54" s="278"/>
      <c r="B54" s="253"/>
      <c r="C54" s="25"/>
      <c r="D54" s="254">
        <f>D52+Antragsrechner!E111</f>
        <v>0</v>
      </c>
      <c r="E54" s="25"/>
      <c r="F54" s="254">
        <f>F52+Antragsrechner!H111</f>
        <v>0</v>
      </c>
      <c r="G54" s="25"/>
      <c r="H54" s="254">
        <f>H52+Antragsrechner!K111</f>
        <v>0</v>
      </c>
      <c r="I54" s="25"/>
      <c r="J54" s="25"/>
      <c r="K54" s="330" t="s">
        <v>298</v>
      </c>
      <c r="L54" s="325">
        <f>Antragsrechner!E108</f>
        <v>0</v>
      </c>
      <c r="M54" s="319">
        <f>Antragsrechner!H108</f>
        <v>0</v>
      </c>
      <c r="N54" s="319">
        <f>Antragsrechner!K108</f>
        <v>0</v>
      </c>
      <c r="P54" s="464"/>
      <c r="Q54" s="467" t="s">
        <v>367</v>
      </c>
      <c r="R54" s="343"/>
    </row>
    <row r="55" spans="1:16" ht="13.5" customHeight="1">
      <c r="A55" s="311" t="s">
        <v>342</v>
      </c>
      <c r="B55" s="312">
        <v>25</v>
      </c>
      <c r="C55" s="25" t="b">
        <v>0</v>
      </c>
      <c r="D55" s="253"/>
      <c r="E55" s="25" t="b">
        <v>0</v>
      </c>
      <c r="F55" s="253"/>
      <c r="G55" s="25" t="b">
        <v>0</v>
      </c>
      <c r="H55" s="253"/>
      <c r="I55" s="25"/>
      <c r="J55" s="25"/>
      <c r="K55" s="330" t="s">
        <v>364</v>
      </c>
      <c r="L55" s="325">
        <f>Antragsrechner!E117</f>
        <v>0</v>
      </c>
      <c r="M55" s="319">
        <f>Antragsrechner!H117</f>
        <v>0</v>
      </c>
      <c r="N55" s="319">
        <f>Antragsrechner!K117</f>
        <v>0</v>
      </c>
      <c r="P55" s="464"/>
    </row>
    <row r="56" spans="1:16" ht="13.5" customHeight="1" thickBot="1">
      <c r="A56" s="278"/>
      <c r="B56" s="253"/>
      <c r="C56" s="25"/>
      <c r="D56" s="254">
        <f>D54+Antragsrechner!E114</f>
        <v>0</v>
      </c>
      <c r="E56" s="25"/>
      <c r="F56" s="254">
        <f>F54+Antragsrechner!H114</f>
        <v>0</v>
      </c>
      <c r="G56" s="25"/>
      <c r="H56" s="254">
        <f>H54+Antragsrechner!K114</f>
        <v>0</v>
      </c>
      <c r="I56" s="25"/>
      <c r="J56" s="25"/>
      <c r="K56" s="331" t="s">
        <v>365</v>
      </c>
      <c r="L56" s="326">
        <f>IF(Antragsrechner!E120&lt;0,Antragsrechner!E120,0)</f>
        <v>0</v>
      </c>
      <c r="M56" s="320">
        <f>IF(Antragsrechner!H120&lt;0,Antragsrechner!H120,0)</f>
        <v>0</v>
      </c>
      <c r="N56" s="320">
        <f>IF(Antragsrechner!K120&lt;0,Antragsrechner!K120,0)</f>
        <v>0</v>
      </c>
      <c r="P56" s="465"/>
    </row>
    <row r="57" spans="1:10" ht="13.5" customHeight="1">
      <c r="A57" s="403" t="s">
        <v>343</v>
      </c>
      <c r="B57" s="457"/>
      <c r="C57" s="25" t="b">
        <v>0</v>
      </c>
      <c r="D57" s="253"/>
      <c r="E57" s="25" t="b">
        <v>0</v>
      </c>
      <c r="F57" s="253"/>
      <c r="G57" s="25" t="b">
        <v>0</v>
      </c>
      <c r="H57" s="253"/>
      <c r="I57" s="25"/>
      <c r="J57" s="25"/>
    </row>
    <row r="58" spans="1:10" ht="13.5" customHeight="1">
      <c r="A58" s="278"/>
      <c r="B58" s="253"/>
      <c r="C58" s="25"/>
      <c r="D58" s="254">
        <f>D56+Antragsrechner!E117</f>
        <v>0</v>
      </c>
      <c r="E58" s="25"/>
      <c r="F58" s="254">
        <f>F56+Antragsrechner!H117</f>
        <v>0</v>
      </c>
      <c r="G58" s="25"/>
      <c r="H58" s="254">
        <f>H56+Antragsrechner!K117</f>
        <v>0</v>
      </c>
      <c r="I58" s="25"/>
      <c r="J58" s="25"/>
    </row>
    <row r="59" spans="1:10" ht="13.5" customHeight="1">
      <c r="A59" s="278"/>
      <c r="B59" s="253"/>
      <c r="C59" s="25"/>
      <c r="D59" s="253"/>
      <c r="E59" s="25"/>
      <c r="F59" s="253"/>
      <c r="G59" s="25"/>
      <c r="H59" s="253"/>
      <c r="I59" s="25"/>
      <c r="J59" s="25"/>
    </row>
    <row r="60" spans="1:14" ht="13.5" customHeight="1">
      <c r="A60" s="279" t="s">
        <v>338</v>
      </c>
      <c r="B60" s="280"/>
      <c r="C60" s="82" t="str">
        <f>Antragsrechner!D119</f>
        <v>Standard</v>
      </c>
      <c r="D60" s="254">
        <f>D58+Antragsrechner!E120</f>
        <v>0</v>
      </c>
      <c r="E60" s="82" t="str">
        <f>Antragsrechner!G119</f>
        <v>Standard</v>
      </c>
      <c r="F60" s="254">
        <f>F58+Antragsrechner!H120</f>
        <v>0</v>
      </c>
      <c r="G60" s="82" t="str">
        <f>Antragsrechner!J119</f>
        <v>Standard</v>
      </c>
      <c r="H60" s="254">
        <f>H58+Antragsrechner!K120</f>
        <v>0</v>
      </c>
      <c r="I60" s="25"/>
      <c r="J60" s="25"/>
      <c r="L60" s="42" t="s">
        <v>368</v>
      </c>
      <c r="N60" s="90">
        <f>Antragsrechner!E102+Antragsrechner!H102+Antragsrechner!K102</f>
        <v>0</v>
      </c>
    </row>
    <row r="61" spans="1:14" ht="13.5" customHeight="1">
      <c r="A61" s="278"/>
      <c r="B61" s="253"/>
      <c r="C61" s="25"/>
      <c r="D61" s="253"/>
      <c r="E61" s="25"/>
      <c r="F61" s="253"/>
      <c r="G61" s="25"/>
      <c r="H61" s="253"/>
      <c r="I61" s="25"/>
      <c r="J61" s="25"/>
      <c r="L61" s="42" t="s">
        <v>369</v>
      </c>
      <c r="N61" s="318">
        <f>G107</f>
        <v>250</v>
      </c>
    </row>
    <row r="62" spans="1:14" ht="13.5" customHeight="1">
      <c r="A62" s="278"/>
      <c r="B62" s="253"/>
      <c r="C62" s="25"/>
      <c r="D62" s="253"/>
      <c r="E62" s="25"/>
      <c r="F62" s="253"/>
      <c r="G62" s="257"/>
      <c r="H62" s="277"/>
      <c r="I62" s="25"/>
      <c r="J62" s="25"/>
      <c r="L62" s="42" t="s">
        <v>370</v>
      </c>
      <c r="N62" s="90">
        <f>MAX(N60,N61)</f>
        <v>250</v>
      </c>
    </row>
    <row r="63" spans="1:14" ht="13.5" customHeight="1">
      <c r="A63" s="25"/>
      <c r="B63" s="25"/>
      <c r="C63" s="25"/>
      <c r="D63" s="25"/>
      <c r="E63" s="25"/>
      <c r="F63" s="25"/>
      <c r="G63" s="25"/>
      <c r="H63" s="333">
        <f>Antragsrechner!E102+Antragsrechner!H102+Antragsrechner!K102+P46</f>
        <v>0</v>
      </c>
      <c r="I63" s="34"/>
      <c r="J63" s="25"/>
      <c r="L63" s="42" t="s">
        <v>371</v>
      </c>
      <c r="N63" s="17">
        <f>P46</f>
        <v>0</v>
      </c>
    </row>
    <row r="64" spans="1:14" ht="13.5" customHeight="1">
      <c r="A64" s="25"/>
      <c r="B64" s="25"/>
      <c r="C64" s="25"/>
      <c r="D64" s="25"/>
      <c r="E64" s="25"/>
      <c r="F64" s="25"/>
      <c r="G64" s="25"/>
      <c r="H64" s="254">
        <f>Antragsrechner!K122+Antragsrechner!K124+Antragsrechner!K126</f>
        <v>250</v>
      </c>
      <c r="I64" s="25"/>
      <c r="J64" s="25"/>
      <c r="L64" s="42" t="s">
        <v>372</v>
      </c>
      <c r="N64" s="90">
        <f>N62+N63</f>
        <v>250</v>
      </c>
    </row>
    <row r="65" spans="1:14" ht="13.5" customHeight="1">
      <c r="A65" s="25"/>
      <c r="B65" s="240"/>
      <c r="C65" s="240"/>
      <c r="D65" s="240"/>
      <c r="E65" s="240"/>
      <c r="F65" s="30"/>
      <c r="G65" s="60"/>
      <c r="H65" s="257">
        <f>H64+Antragsrechner!K128</f>
        <v>250</v>
      </c>
      <c r="I65" s="62"/>
      <c r="J65" s="25"/>
      <c r="L65" s="42" t="s">
        <v>373</v>
      </c>
      <c r="N65" s="17">
        <f>P53</f>
        <v>0</v>
      </c>
    </row>
    <row r="66" spans="1:14" ht="13.5" customHeight="1">
      <c r="A66" s="25"/>
      <c r="B66" s="240"/>
      <c r="C66" s="240"/>
      <c r="D66" s="240"/>
      <c r="E66" s="240"/>
      <c r="F66" s="261" t="s">
        <v>65</v>
      </c>
      <c r="G66" s="261"/>
      <c r="H66" s="274">
        <f>D60+F60+H60</f>
        <v>0</v>
      </c>
      <c r="I66" s="62"/>
      <c r="J66" s="25"/>
      <c r="L66" s="42" t="s">
        <v>374</v>
      </c>
      <c r="N66" s="90">
        <f>N64+N65</f>
        <v>250</v>
      </c>
    </row>
    <row r="67" spans="1:14" ht="13.5" customHeight="1">
      <c r="A67" s="25"/>
      <c r="B67" s="240"/>
      <c r="C67" s="240"/>
      <c r="D67" s="240"/>
      <c r="E67" s="240"/>
      <c r="F67" s="30"/>
      <c r="G67" s="259"/>
      <c r="H67" s="25"/>
      <c r="I67" s="62"/>
      <c r="J67" s="25"/>
      <c r="L67" s="42" t="s">
        <v>370</v>
      </c>
      <c r="N67" s="334">
        <f>MAX(G107,N66)</f>
        <v>250</v>
      </c>
    </row>
    <row r="68" spans="1:10" ht="13.5" customHeight="1">
      <c r="A68" s="25"/>
      <c r="B68" s="240"/>
      <c r="C68" s="240"/>
      <c r="D68" s="240"/>
      <c r="E68" s="240"/>
      <c r="F68" s="157" t="s">
        <v>103</v>
      </c>
      <c r="G68" s="281" t="str">
        <f>Antragsrechner!D27</f>
        <v>Deutschland</v>
      </c>
      <c r="H68" s="282">
        <f>H66+Antragsrechner!K124</f>
        <v>0</v>
      </c>
      <c r="I68" s="25"/>
      <c r="J68" s="25"/>
    </row>
    <row r="69" spans="1:10" ht="13.5" customHeight="1">
      <c r="A69" s="25"/>
      <c r="B69" s="240"/>
      <c r="C69" s="240"/>
      <c r="D69" s="240"/>
      <c r="E69" s="240"/>
      <c r="F69" s="32"/>
      <c r="G69" s="259"/>
      <c r="H69" s="38"/>
      <c r="I69" s="25"/>
      <c r="J69" s="25"/>
    </row>
    <row r="70" spans="1:10" ht="13.5" customHeight="1">
      <c r="A70" s="25"/>
      <c r="B70" s="240"/>
      <c r="C70" s="240"/>
      <c r="D70" s="240"/>
      <c r="E70" s="240"/>
      <c r="F70" s="157" t="s">
        <v>91</v>
      </c>
      <c r="G70" s="264" t="b">
        <v>0</v>
      </c>
      <c r="H70" s="282">
        <f>H68+Antragsrechner!K126</f>
        <v>0</v>
      </c>
      <c r="I70" s="25"/>
      <c r="J70" s="25"/>
    </row>
    <row r="71" spans="1:10" ht="13.5" customHeight="1">
      <c r="A71" s="25"/>
      <c r="B71" s="240"/>
      <c r="C71" s="240"/>
      <c r="D71" s="240"/>
      <c r="E71" s="240"/>
      <c r="F71" s="30"/>
      <c r="G71" s="259"/>
      <c r="H71" s="25"/>
      <c r="I71" s="25"/>
      <c r="J71" s="25"/>
    </row>
    <row r="72" spans="1:10" ht="13.5" customHeight="1">
      <c r="A72" s="25"/>
      <c r="B72" s="30"/>
      <c r="C72" s="58"/>
      <c r="D72" s="25"/>
      <c r="E72" s="160"/>
      <c r="F72" s="240" t="s">
        <v>335</v>
      </c>
      <c r="G72" s="264" t="b">
        <v>0</v>
      </c>
      <c r="H72" s="282">
        <f>H70+Antragsrechner!K128</f>
        <v>0</v>
      </c>
      <c r="I72" s="25"/>
      <c r="J72" s="25"/>
    </row>
    <row r="73" spans="1:10" ht="13.5" customHeight="1">
      <c r="A73" s="25"/>
      <c r="B73" s="30"/>
      <c r="C73" s="58"/>
      <c r="D73" s="25"/>
      <c r="E73" s="160"/>
      <c r="F73" s="30"/>
      <c r="G73" s="259"/>
      <c r="H73" s="282"/>
      <c r="I73" s="25"/>
      <c r="J73" s="25"/>
    </row>
    <row r="74" spans="1:10" ht="13.5" customHeight="1">
      <c r="A74" s="25"/>
      <c r="B74" s="30"/>
      <c r="C74" s="58"/>
      <c r="D74" s="25"/>
      <c r="E74" s="160"/>
      <c r="F74" s="157"/>
      <c r="G74" s="25"/>
      <c r="H74" s="282"/>
      <c r="I74" s="25"/>
      <c r="J74" s="25"/>
    </row>
    <row r="75" spans="1:10" ht="13.5" customHeight="1">
      <c r="A75" s="25"/>
      <c r="B75" s="30"/>
      <c r="C75" s="58"/>
      <c r="D75" s="25"/>
      <c r="E75" s="160"/>
      <c r="F75" s="30"/>
      <c r="G75" s="25"/>
      <c r="H75" s="282"/>
      <c r="I75" s="25"/>
      <c r="J75" s="25"/>
    </row>
    <row r="76" spans="1:10" ht="13.5" customHeight="1">
      <c r="A76" s="25"/>
      <c r="B76" s="474"/>
      <c r="C76" s="475"/>
      <c r="D76" s="475"/>
      <c r="E76" s="161"/>
      <c r="F76" s="157"/>
      <c r="G76" s="25"/>
      <c r="H76" s="282"/>
      <c r="I76" s="25"/>
      <c r="J76" s="25"/>
    </row>
    <row r="77" spans="1:10" ht="13.5" customHeight="1">
      <c r="A77" s="25"/>
      <c r="B77" s="240"/>
      <c r="C77" s="240"/>
      <c r="D77" s="240"/>
      <c r="E77" s="160"/>
      <c r="F77" s="30"/>
      <c r="G77" s="25"/>
      <c r="H77" s="282"/>
      <c r="I77" s="25"/>
      <c r="J77" s="25"/>
    </row>
    <row r="78" spans="1:10" ht="13.5" customHeight="1">
      <c r="A78" s="25"/>
      <c r="B78" s="240"/>
      <c r="C78" s="240"/>
      <c r="D78" s="240"/>
      <c r="E78" s="161"/>
      <c r="F78" s="25"/>
      <c r="G78" s="25"/>
      <c r="H78" s="282"/>
      <c r="I78" s="25"/>
      <c r="J78" s="25"/>
    </row>
    <row r="79" spans="1:10" ht="13.5" customHeight="1">
      <c r="A79" s="25"/>
      <c r="B79" s="240"/>
      <c r="C79" s="240"/>
      <c r="D79" s="240"/>
      <c r="E79" s="160"/>
      <c r="F79" s="30"/>
      <c r="G79" s="25"/>
      <c r="H79" s="282"/>
      <c r="I79" s="25"/>
      <c r="J79" s="25"/>
    </row>
    <row r="80" spans="1:10" ht="13.5" customHeight="1">
      <c r="A80" s="25"/>
      <c r="B80" s="240"/>
      <c r="C80" s="240"/>
      <c r="D80" s="240"/>
      <c r="E80" s="161"/>
      <c r="F80" s="157"/>
      <c r="G80" s="25"/>
      <c r="H80" s="282"/>
      <c r="I80" s="25"/>
      <c r="J80" s="25"/>
    </row>
    <row r="81" spans="1:10" ht="13.5" customHeight="1">
      <c r="A81" s="25"/>
      <c r="B81" s="240"/>
      <c r="C81" s="240"/>
      <c r="D81" s="240"/>
      <c r="E81" s="160"/>
      <c r="F81" s="30"/>
      <c r="G81" s="25"/>
      <c r="H81" s="282"/>
      <c r="I81" s="25"/>
      <c r="J81" s="25"/>
    </row>
    <row r="82" spans="1:10" ht="13.5" customHeight="1">
      <c r="A82" s="25"/>
      <c r="B82" s="240"/>
      <c r="C82" s="240"/>
      <c r="D82" s="240"/>
      <c r="E82" s="160"/>
      <c r="F82" s="157" t="s">
        <v>336</v>
      </c>
      <c r="G82" s="289">
        <f>Antragsrechner!J130</f>
        <v>0</v>
      </c>
      <c r="H82" s="282">
        <f>H72+Antragsrechner!K130</f>
        <v>0</v>
      </c>
      <c r="I82" s="25"/>
      <c r="J82" s="25"/>
    </row>
    <row r="83" spans="1:10" ht="13.5" customHeight="1">
      <c r="A83" s="25"/>
      <c r="B83" s="240"/>
      <c r="C83" s="240"/>
      <c r="D83" s="240"/>
      <c r="E83" s="160"/>
      <c r="F83" s="32"/>
      <c r="G83" s="25"/>
      <c r="H83" s="282"/>
      <c r="I83" s="60"/>
      <c r="J83" s="25"/>
    </row>
    <row r="84" spans="1:10" ht="13.5" customHeight="1">
      <c r="A84" s="25"/>
      <c r="B84" s="30"/>
      <c r="C84" s="58"/>
      <c r="D84" s="25"/>
      <c r="E84" s="160"/>
      <c r="F84" s="157" t="s">
        <v>97</v>
      </c>
      <c r="G84" s="264" t="b">
        <v>0</v>
      </c>
      <c r="H84" s="282">
        <f>H82+Antragsrechner!K132</f>
        <v>0</v>
      </c>
      <c r="I84" s="37"/>
      <c r="J84" s="25"/>
    </row>
    <row r="85" spans="1:10" ht="13.5" customHeight="1">
      <c r="A85" s="25"/>
      <c r="B85" s="30"/>
      <c r="C85" s="58"/>
      <c r="D85" s="25"/>
      <c r="E85" s="160"/>
      <c r="F85" s="30"/>
      <c r="G85" s="260"/>
      <c r="H85" s="282"/>
      <c r="I85" s="37"/>
      <c r="J85" s="25"/>
    </row>
    <row r="86" spans="1:10" ht="13.5" customHeight="1">
      <c r="A86" s="25"/>
      <c r="B86" s="30"/>
      <c r="C86" s="58"/>
      <c r="D86" s="25"/>
      <c r="E86" s="160"/>
      <c r="F86" s="157" t="s">
        <v>287</v>
      </c>
      <c r="G86" s="264" t="b">
        <v>0</v>
      </c>
      <c r="H86" s="282">
        <f>H84+Antragsrechner!K134</f>
        <v>0</v>
      </c>
      <c r="I86" s="37"/>
      <c r="J86" s="25"/>
    </row>
    <row r="87" spans="1:10" ht="13.5" customHeight="1">
      <c r="A87" s="25"/>
      <c r="B87" s="30"/>
      <c r="C87" s="58"/>
      <c r="D87" s="25"/>
      <c r="E87" s="160"/>
      <c r="F87" s="30"/>
      <c r="G87" s="260"/>
      <c r="H87" s="282"/>
      <c r="I87" s="37"/>
      <c r="J87" s="25"/>
    </row>
    <row r="88" spans="1:10" ht="13.5" customHeight="1">
      <c r="A88" s="25"/>
      <c r="B88" s="30"/>
      <c r="C88" s="157"/>
      <c r="D88" s="25"/>
      <c r="E88" s="160"/>
      <c r="F88" s="263" t="s">
        <v>337</v>
      </c>
      <c r="G88" s="63" t="b">
        <v>0</v>
      </c>
      <c r="H88" s="284">
        <f>H86+Antragsrechner!K136</f>
        <v>0</v>
      </c>
      <c r="I88" s="37"/>
      <c r="J88" s="25"/>
    </row>
    <row r="89" spans="1:10" ht="13.5" customHeight="1">
      <c r="A89" s="25"/>
      <c r="B89" s="30"/>
      <c r="C89" s="157"/>
      <c r="D89" s="25"/>
      <c r="E89" s="160"/>
      <c r="F89" s="285"/>
      <c r="G89" s="286"/>
      <c r="H89" s="287"/>
      <c r="I89" s="37"/>
      <c r="J89" s="25"/>
    </row>
    <row r="90" spans="1:10" ht="13.5" customHeight="1">
      <c r="A90" s="25"/>
      <c r="B90" s="30"/>
      <c r="C90" s="157"/>
      <c r="D90" s="25"/>
      <c r="E90" s="160"/>
      <c r="F90" s="476" t="s">
        <v>328</v>
      </c>
      <c r="G90" s="25"/>
      <c r="H90" s="283">
        <f>Antragsrechner!K138</f>
        <v>250</v>
      </c>
      <c r="I90" s="37"/>
      <c r="J90" s="25"/>
    </row>
    <row r="91" spans="1:10" ht="13.5" customHeight="1">
      <c r="A91" s="25"/>
      <c r="B91" s="30"/>
      <c r="C91" s="157"/>
      <c r="D91" s="25"/>
      <c r="E91" s="160"/>
      <c r="F91" s="476"/>
      <c r="G91" s="25"/>
      <c r="H91" s="282"/>
      <c r="I91" s="37"/>
      <c r="J91" s="37"/>
    </row>
    <row r="92" spans="1:10" ht="13.5" customHeight="1">
      <c r="A92" s="25"/>
      <c r="B92" s="159"/>
      <c r="C92" s="473"/>
      <c r="D92" s="473"/>
      <c r="E92" s="161"/>
      <c r="F92" s="241" t="s">
        <v>332</v>
      </c>
      <c r="G92" s="289">
        <f>Antragsrechner!J140</f>
        <v>0</v>
      </c>
      <c r="H92" s="282">
        <f>H90+Antragsrechner!K140</f>
        <v>250</v>
      </c>
      <c r="I92" s="37"/>
      <c r="J92" s="37"/>
    </row>
    <row r="93" spans="1:10" ht="13.5" customHeight="1">
      <c r="A93" s="25"/>
      <c r="B93" s="30"/>
      <c r="C93" s="157"/>
      <c r="D93" s="25"/>
      <c r="E93" s="160"/>
      <c r="F93" s="25"/>
      <c r="G93" s="25"/>
      <c r="H93" s="25"/>
      <c r="I93" s="37"/>
      <c r="J93" s="37"/>
    </row>
    <row r="94" spans="1:10" ht="13.5" customHeight="1">
      <c r="A94" s="30" t="s">
        <v>5</v>
      </c>
      <c r="B94" s="30"/>
      <c r="C94" s="30"/>
      <c r="D94" s="30"/>
      <c r="E94" s="186"/>
      <c r="F94" s="261"/>
      <c r="G94" s="261"/>
      <c r="H94" s="261"/>
      <c r="I94" s="270"/>
      <c r="J94" s="37"/>
    </row>
    <row r="95" spans="1:10" ht="13.5" customHeight="1">
      <c r="A95" s="30"/>
      <c r="B95" s="30"/>
      <c r="C95" s="30"/>
      <c r="D95" s="30"/>
      <c r="E95" s="160"/>
      <c r="F95" s="30"/>
      <c r="G95" s="157"/>
      <c r="H95" s="25"/>
      <c r="I95" s="37"/>
      <c r="J95" s="37"/>
    </row>
    <row r="96" spans="1:10" ht="13.5" customHeight="1">
      <c r="A96" s="25"/>
      <c r="B96" s="32"/>
      <c r="C96" s="338"/>
      <c r="D96" s="338"/>
      <c r="E96" s="160"/>
      <c r="F96" s="260" t="s">
        <v>99</v>
      </c>
      <c r="G96" s="289">
        <f>Antragsrechner!J143</f>
        <v>0</v>
      </c>
      <c r="H96" s="290">
        <f>H92+Antragsrechner!K143</f>
        <v>250</v>
      </c>
      <c r="I96" s="37"/>
      <c r="J96" s="25"/>
    </row>
    <row r="97" spans="1:10" ht="13.5" customHeight="1">
      <c r="A97" s="25"/>
      <c r="B97" s="32"/>
      <c r="C97" s="32"/>
      <c r="D97" s="25"/>
      <c r="E97" s="160"/>
      <c r="F97" s="30"/>
      <c r="G97" s="157"/>
      <c r="H97" s="25"/>
      <c r="I97" s="37"/>
      <c r="J97" s="37"/>
    </row>
    <row r="98" spans="1:10" ht="13.5" customHeight="1">
      <c r="A98" s="25"/>
      <c r="B98" s="458"/>
      <c r="C98" s="458"/>
      <c r="D98" s="458"/>
      <c r="E98" s="160"/>
      <c r="F98" s="260" t="s">
        <v>100</v>
      </c>
      <c r="G98" s="289">
        <v>0.19</v>
      </c>
      <c r="H98" s="290">
        <f>H96+Antragsrechner!K145</f>
        <v>297.5</v>
      </c>
      <c r="I98" s="37"/>
      <c r="J98" s="37"/>
    </row>
    <row r="99" spans="1:10" ht="13.5" customHeight="1">
      <c r="A99" s="25"/>
      <c r="B99" s="30"/>
      <c r="C99" s="157"/>
      <c r="D99" s="25"/>
      <c r="E99" s="160"/>
      <c r="F99" s="30"/>
      <c r="G99" s="157"/>
      <c r="H99" s="25"/>
      <c r="I99" s="37"/>
      <c r="J99" s="37"/>
    </row>
    <row r="100" spans="1:10" ht="13.5" customHeight="1">
      <c r="A100" s="25"/>
      <c r="B100" s="30"/>
      <c r="C100" s="157"/>
      <c r="D100" s="25"/>
      <c r="E100" s="160"/>
      <c r="F100" s="261" t="s">
        <v>86</v>
      </c>
      <c r="G100" s="261"/>
      <c r="H100" s="261"/>
      <c r="I100" s="288"/>
      <c r="J100" s="37"/>
    </row>
    <row r="101" spans="1:10" ht="13.5" customHeight="1">
      <c r="A101" s="414"/>
      <c r="B101" s="414"/>
      <c r="C101" s="414"/>
      <c r="D101" s="414"/>
      <c r="E101" s="414"/>
      <c r="F101" s="414"/>
      <c r="G101" s="414"/>
      <c r="H101" s="414"/>
      <c r="I101" s="414"/>
      <c r="J101" s="414"/>
    </row>
    <row r="102" spans="1:10" ht="13.5" customHeight="1">
      <c r="A102" s="25"/>
      <c r="B102" s="25"/>
      <c r="C102" s="25"/>
      <c r="D102" s="25"/>
      <c r="E102" s="160"/>
      <c r="F102" s="25"/>
      <c r="G102" s="25"/>
      <c r="H102" s="25"/>
      <c r="I102" s="25"/>
      <c r="J102" s="25"/>
    </row>
    <row r="103" spans="1:10" ht="13.5" customHeight="1">
      <c r="A103" s="9"/>
      <c r="B103" s="9"/>
      <c r="C103" s="9"/>
      <c r="D103" s="9"/>
      <c r="E103" s="187"/>
      <c r="F103" s="9"/>
      <c r="G103" s="9"/>
      <c r="H103" s="9"/>
      <c r="I103" s="9"/>
      <c r="J103" s="9"/>
    </row>
    <row r="104" spans="1:10" ht="13.5" customHeight="1">
      <c r="A104" s="17">
        <v>74805565</v>
      </c>
      <c r="B104" s="17"/>
      <c r="C104" s="17"/>
      <c r="D104" s="17"/>
      <c r="E104" s="188"/>
      <c r="F104" s="17"/>
      <c r="G104" s="17"/>
      <c r="H104" s="17"/>
      <c r="I104" s="17"/>
      <c r="J104" s="17"/>
    </row>
    <row r="105" spans="1:10" ht="13.5" customHeight="1">
      <c r="A105" s="452" t="s">
        <v>240</v>
      </c>
      <c r="B105" s="452"/>
      <c r="C105" s="452"/>
      <c r="D105" s="172" t="s">
        <v>123</v>
      </c>
      <c r="E105" s="189" t="s">
        <v>61</v>
      </c>
      <c r="F105" s="17"/>
      <c r="G105" s="17"/>
      <c r="H105" s="17"/>
      <c r="I105" s="17"/>
      <c r="J105" s="17"/>
    </row>
    <row r="106" spans="1:10" ht="13.5" customHeight="1">
      <c r="A106" s="453" t="s">
        <v>242</v>
      </c>
      <c r="B106" s="454"/>
      <c r="C106" s="454"/>
      <c r="D106" s="166">
        <v>10.5</v>
      </c>
      <c r="E106" s="190">
        <v>2000</v>
      </c>
      <c r="F106" s="17"/>
      <c r="G106" s="172" t="s">
        <v>121</v>
      </c>
      <c r="H106" s="17"/>
      <c r="I106" s="17"/>
      <c r="J106" s="17"/>
    </row>
    <row r="107" spans="1:10" ht="13.5" customHeight="1">
      <c r="A107" s="453" t="s">
        <v>271</v>
      </c>
      <c r="B107" s="454"/>
      <c r="C107" s="454"/>
      <c r="D107" s="166">
        <v>7.35</v>
      </c>
      <c r="E107" s="190">
        <v>2000</v>
      </c>
      <c r="F107" s="17"/>
      <c r="G107" s="197">
        <f>IF(Antragsrechner!G91="P r e m i u m",250,200)</f>
        <v>250</v>
      </c>
      <c r="H107" s="17"/>
      <c r="I107" s="17"/>
      <c r="J107" s="17"/>
    </row>
    <row r="108" spans="1:10" ht="13.5" customHeight="1">
      <c r="A108" s="453" t="s">
        <v>243</v>
      </c>
      <c r="B108" s="454"/>
      <c r="C108" s="454"/>
      <c r="D108" s="166">
        <v>3.15</v>
      </c>
      <c r="E108" s="190">
        <v>2000</v>
      </c>
      <c r="F108" s="17"/>
      <c r="G108" s="17"/>
      <c r="H108" s="17"/>
      <c r="I108" s="17"/>
      <c r="J108" s="17"/>
    </row>
    <row r="109" spans="1:10" ht="13.5" customHeight="1">
      <c r="A109" s="453" t="s">
        <v>244</v>
      </c>
      <c r="B109" s="454"/>
      <c r="C109" s="454"/>
      <c r="D109" s="166">
        <v>10</v>
      </c>
      <c r="E109" s="190">
        <v>1000</v>
      </c>
      <c r="F109" s="17"/>
      <c r="G109" s="17"/>
      <c r="H109" s="17"/>
      <c r="I109" s="17"/>
      <c r="J109" s="17"/>
    </row>
    <row r="110" spans="1:10" ht="13.5" customHeight="1">
      <c r="A110" s="453" t="s">
        <v>272</v>
      </c>
      <c r="B110" s="454"/>
      <c r="C110" s="454"/>
      <c r="D110" s="166">
        <v>7</v>
      </c>
      <c r="E110" s="190">
        <v>1000</v>
      </c>
      <c r="F110" s="17"/>
      <c r="G110" s="17"/>
      <c r="H110" s="17"/>
      <c r="I110" s="17"/>
      <c r="J110" s="17"/>
    </row>
    <row r="111" spans="1:10" ht="13.5" customHeight="1">
      <c r="A111" s="453" t="s">
        <v>245</v>
      </c>
      <c r="B111" s="454"/>
      <c r="C111" s="454"/>
      <c r="D111" s="166">
        <v>3</v>
      </c>
      <c r="E111" s="190">
        <v>1000</v>
      </c>
      <c r="F111" s="17"/>
      <c r="G111" s="17"/>
      <c r="H111" s="17"/>
      <c r="I111" s="17"/>
      <c r="J111" s="17"/>
    </row>
    <row r="112" spans="1:10" ht="13.5" customHeight="1">
      <c r="A112" s="453" t="s">
        <v>246</v>
      </c>
      <c r="B112" s="454"/>
      <c r="C112" s="454"/>
      <c r="D112" s="166">
        <v>9</v>
      </c>
      <c r="E112" s="190">
        <v>1000</v>
      </c>
      <c r="F112" s="17"/>
      <c r="G112" s="17"/>
      <c r="H112" s="17"/>
      <c r="I112" s="17"/>
      <c r="J112" s="17"/>
    </row>
    <row r="113" spans="1:10" ht="13.5" customHeight="1">
      <c r="A113" s="453" t="s">
        <v>273</v>
      </c>
      <c r="B113" s="454"/>
      <c r="C113" s="454"/>
      <c r="D113" s="166">
        <v>6.3</v>
      </c>
      <c r="E113" s="190">
        <v>1000</v>
      </c>
      <c r="F113" s="17"/>
      <c r="G113" s="17"/>
      <c r="H113" s="17"/>
      <c r="I113" s="17"/>
      <c r="J113" s="17"/>
    </row>
    <row r="114" spans="1:10" ht="13.5" customHeight="1">
      <c r="A114" s="453" t="s">
        <v>247</v>
      </c>
      <c r="B114" s="454"/>
      <c r="C114" s="454"/>
      <c r="D114" s="166">
        <v>2.7</v>
      </c>
      <c r="E114" s="190">
        <v>1000</v>
      </c>
      <c r="F114" s="17"/>
      <c r="G114" s="17"/>
      <c r="H114" s="17"/>
      <c r="I114" s="17"/>
      <c r="J114" s="17"/>
    </row>
    <row r="115" spans="1:10" ht="13.5" customHeight="1">
      <c r="A115" s="453" t="s">
        <v>248</v>
      </c>
      <c r="B115" s="454"/>
      <c r="C115" s="454"/>
      <c r="D115" s="166">
        <v>8.5</v>
      </c>
      <c r="E115" s="190">
        <v>500</v>
      </c>
      <c r="F115" s="17"/>
      <c r="G115" s="17"/>
      <c r="H115" s="17"/>
      <c r="I115" s="17"/>
      <c r="J115" s="17"/>
    </row>
    <row r="116" spans="1:10" ht="13.5" customHeight="1">
      <c r="A116" s="453" t="s">
        <v>274</v>
      </c>
      <c r="B116" s="454"/>
      <c r="C116" s="454"/>
      <c r="D116" s="166">
        <v>5.95</v>
      </c>
      <c r="E116" s="190">
        <v>500</v>
      </c>
      <c r="F116" s="17"/>
      <c r="G116" s="17"/>
      <c r="H116" s="17"/>
      <c r="I116" s="17"/>
      <c r="J116" s="17"/>
    </row>
    <row r="117" spans="1:10" ht="13.5" customHeight="1">
      <c r="A117" s="453" t="s">
        <v>249</v>
      </c>
      <c r="B117" s="454"/>
      <c r="C117" s="454"/>
      <c r="D117" s="166">
        <v>2.55</v>
      </c>
      <c r="E117" s="190">
        <v>500</v>
      </c>
      <c r="F117" s="17"/>
      <c r="G117" s="17"/>
      <c r="H117" s="17"/>
      <c r="I117" s="17"/>
      <c r="J117" s="17"/>
    </row>
    <row r="118" spans="1:10" ht="13.5" customHeight="1">
      <c r="A118" s="453" t="s">
        <v>250</v>
      </c>
      <c r="B118" s="454"/>
      <c r="C118" s="454"/>
      <c r="D118" s="166">
        <v>8</v>
      </c>
      <c r="E118" s="190">
        <v>500</v>
      </c>
      <c r="F118" s="17"/>
      <c r="G118" s="17"/>
      <c r="H118" s="17"/>
      <c r="I118" s="17"/>
      <c r="J118" s="17"/>
    </row>
    <row r="119" spans="1:10" ht="13.5" customHeight="1">
      <c r="A119" s="453" t="s">
        <v>275</v>
      </c>
      <c r="B119" s="454"/>
      <c r="C119" s="454"/>
      <c r="D119" s="166">
        <v>5.6</v>
      </c>
      <c r="E119" s="190">
        <v>500</v>
      </c>
      <c r="F119" s="17"/>
      <c r="G119" s="17"/>
      <c r="H119" s="17"/>
      <c r="I119" s="17"/>
      <c r="J119" s="17"/>
    </row>
    <row r="120" spans="1:10" ht="13.5" customHeight="1">
      <c r="A120" s="453" t="s">
        <v>251</v>
      </c>
      <c r="B120" s="454"/>
      <c r="C120" s="454"/>
      <c r="D120" s="166">
        <v>2.4</v>
      </c>
      <c r="E120" s="190">
        <v>500</v>
      </c>
      <c r="F120" s="17"/>
      <c r="G120" s="17"/>
      <c r="H120" s="17"/>
      <c r="I120" s="17"/>
      <c r="J120" s="17"/>
    </row>
    <row r="121" spans="1:10" ht="13.5" customHeight="1">
      <c r="A121" s="453" t="s">
        <v>252</v>
      </c>
      <c r="B121" s="454"/>
      <c r="C121" s="454"/>
      <c r="D121" s="166">
        <v>11</v>
      </c>
      <c r="E121" s="190">
        <v>500</v>
      </c>
      <c r="F121" s="17"/>
      <c r="G121" s="17"/>
      <c r="H121" s="17"/>
      <c r="I121" s="17"/>
      <c r="J121" s="17"/>
    </row>
    <row r="122" spans="1:10" ht="13.5" customHeight="1">
      <c r="A122" s="453" t="s">
        <v>276</v>
      </c>
      <c r="B122" s="454"/>
      <c r="C122" s="454"/>
      <c r="D122" s="166">
        <v>7.7</v>
      </c>
      <c r="E122" s="190">
        <v>500</v>
      </c>
      <c r="F122" s="17"/>
      <c r="G122" s="17"/>
      <c r="H122" s="17"/>
      <c r="I122" s="17"/>
      <c r="J122" s="17"/>
    </row>
    <row r="123" spans="1:10" ht="13.5" customHeight="1">
      <c r="A123" s="453" t="s">
        <v>253</v>
      </c>
      <c r="B123" s="454"/>
      <c r="C123" s="454"/>
      <c r="D123" s="166">
        <v>3.3</v>
      </c>
      <c r="E123" s="190">
        <v>500</v>
      </c>
      <c r="F123" s="17"/>
      <c r="G123" s="17"/>
      <c r="H123" s="17"/>
      <c r="I123" s="17"/>
      <c r="J123" s="17"/>
    </row>
    <row r="124" spans="1:10" ht="13.5" customHeight="1">
      <c r="A124" s="167" t="s">
        <v>254</v>
      </c>
      <c r="B124" s="168"/>
      <c r="C124" s="169"/>
      <c r="D124" s="166">
        <v>15</v>
      </c>
      <c r="E124" s="190">
        <v>1000</v>
      </c>
      <c r="F124" s="17"/>
      <c r="G124" s="17"/>
      <c r="H124" s="17"/>
      <c r="I124" s="17"/>
      <c r="J124" s="17"/>
    </row>
    <row r="125" spans="1:10" ht="13.5" customHeight="1">
      <c r="A125" s="167" t="s">
        <v>255</v>
      </c>
      <c r="B125" s="168"/>
      <c r="C125" s="169"/>
      <c r="D125" s="166">
        <v>10.5</v>
      </c>
      <c r="E125" s="190">
        <v>1000</v>
      </c>
      <c r="F125" s="17"/>
      <c r="G125" s="17"/>
      <c r="H125" s="17"/>
      <c r="I125" s="17"/>
      <c r="J125" s="17"/>
    </row>
    <row r="126" spans="1:10" ht="13.5" customHeight="1">
      <c r="A126" s="167" t="s">
        <v>256</v>
      </c>
      <c r="B126" s="168"/>
      <c r="C126" s="169"/>
      <c r="D126" s="166">
        <v>4.5</v>
      </c>
      <c r="E126" s="190">
        <v>1000</v>
      </c>
      <c r="F126" s="17"/>
      <c r="G126" s="17"/>
      <c r="H126" s="17"/>
      <c r="I126" s="17"/>
      <c r="J126" s="17"/>
    </row>
    <row r="127" spans="1:10" ht="13.5" customHeight="1">
      <c r="A127" s="450" t="s">
        <v>257</v>
      </c>
      <c r="B127" s="451"/>
      <c r="C127" s="451"/>
      <c r="D127" s="165">
        <v>12.6</v>
      </c>
      <c r="E127" s="191">
        <v>2000</v>
      </c>
      <c r="F127" s="17"/>
      <c r="G127" s="17"/>
      <c r="H127" s="17"/>
      <c r="I127" s="17"/>
      <c r="J127" s="17"/>
    </row>
    <row r="128" spans="1:10" ht="13.5" customHeight="1">
      <c r="A128" s="450" t="s">
        <v>277</v>
      </c>
      <c r="B128" s="451"/>
      <c r="C128" s="451"/>
      <c r="D128" s="165">
        <v>8.82</v>
      </c>
      <c r="E128" s="191">
        <v>2000</v>
      </c>
      <c r="F128" s="17"/>
      <c r="G128" s="17"/>
      <c r="H128" s="17"/>
      <c r="I128" s="17"/>
      <c r="J128" s="17"/>
    </row>
    <row r="129" spans="1:10" ht="13.5" customHeight="1">
      <c r="A129" s="450" t="s">
        <v>258</v>
      </c>
      <c r="B129" s="451"/>
      <c r="C129" s="451"/>
      <c r="D129" s="165">
        <v>3.78</v>
      </c>
      <c r="E129" s="191">
        <v>2000</v>
      </c>
      <c r="F129" s="17"/>
      <c r="G129" s="17"/>
      <c r="H129" s="17"/>
      <c r="I129" s="17"/>
      <c r="J129" s="17"/>
    </row>
    <row r="130" spans="1:10" ht="13.5" customHeight="1">
      <c r="A130" s="450" t="s">
        <v>259</v>
      </c>
      <c r="B130" s="451"/>
      <c r="C130" s="451"/>
      <c r="D130" s="165">
        <v>12</v>
      </c>
      <c r="E130" s="191">
        <v>1000</v>
      </c>
      <c r="F130" s="17"/>
      <c r="G130" s="17"/>
      <c r="H130" s="17"/>
      <c r="I130" s="17"/>
      <c r="J130" s="17"/>
    </row>
    <row r="131" spans="1:10" ht="13.5" customHeight="1">
      <c r="A131" s="450" t="s">
        <v>278</v>
      </c>
      <c r="B131" s="451"/>
      <c r="C131" s="451"/>
      <c r="D131" s="165">
        <v>8.4</v>
      </c>
      <c r="E131" s="191">
        <v>1000</v>
      </c>
      <c r="F131" s="17"/>
      <c r="G131" s="17"/>
      <c r="H131" s="17"/>
      <c r="I131" s="17"/>
      <c r="J131" s="17"/>
    </row>
    <row r="132" spans="1:10" ht="13.5" customHeight="1">
      <c r="A132" s="450" t="s">
        <v>260</v>
      </c>
      <c r="B132" s="451"/>
      <c r="C132" s="451"/>
      <c r="D132" s="165">
        <v>3.6</v>
      </c>
      <c r="E132" s="191">
        <v>1000</v>
      </c>
      <c r="F132" s="17"/>
      <c r="G132" s="17"/>
      <c r="H132" s="17"/>
      <c r="I132" s="17"/>
      <c r="J132" s="17"/>
    </row>
    <row r="133" spans="1:10" ht="13.5" customHeight="1">
      <c r="A133" s="450" t="s">
        <v>261</v>
      </c>
      <c r="B133" s="451"/>
      <c r="C133" s="451"/>
      <c r="D133" s="165">
        <v>10.8</v>
      </c>
      <c r="E133" s="191">
        <v>1000</v>
      </c>
      <c r="F133" s="17"/>
      <c r="G133" s="17"/>
      <c r="H133" s="17"/>
      <c r="I133" s="17"/>
      <c r="J133" s="17"/>
    </row>
    <row r="134" spans="1:10" ht="13.5" customHeight="1">
      <c r="A134" s="450" t="s">
        <v>279</v>
      </c>
      <c r="B134" s="451"/>
      <c r="C134" s="451"/>
      <c r="D134" s="165">
        <v>7.56</v>
      </c>
      <c r="E134" s="191">
        <v>1000</v>
      </c>
      <c r="F134" s="17"/>
      <c r="G134" s="17"/>
      <c r="H134" s="17"/>
      <c r="I134" s="17"/>
      <c r="J134" s="17"/>
    </row>
    <row r="135" spans="1:10" ht="13.5" customHeight="1">
      <c r="A135" s="450" t="s">
        <v>262</v>
      </c>
      <c r="B135" s="451"/>
      <c r="C135" s="451"/>
      <c r="D135" s="165">
        <v>3.24</v>
      </c>
      <c r="E135" s="191">
        <v>1000</v>
      </c>
      <c r="F135" s="17"/>
      <c r="G135" s="17"/>
      <c r="H135" s="17"/>
      <c r="I135" s="17"/>
      <c r="J135" s="17"/>
    </row>
    <row r="136" spans="1:10" ht="13.5" customHeight="1">
      <c r="A136" s="450" t="s">
        <v>241</v>
      </c>
      <c r="B136" s="451"/>
      <c r="C136" s="451"/>
      <c r="D136" s="165">
        <v>10.2</v>
      </c>
      <c r="E136" s="191">
        <v>500</v>
      </c>
      <c r="F136" s="17"/>
      <c r="G136" s="17"/>
      <c r="H136" s="17"/>
      <c r="I136" s="17"/>
      <c r="J136" s="17"/>
    </row>
    <row r="137" spans="1:10" ht="13.5" customHeight="1">
      <c r="A137" s="450" t="s">
        <v>280</v>
      </c>
      <c r="B137" s="451"/>
      <c r="C137" s="451"/>
      <c r="D137" s="165">
        <v>7.14</v>
      </c>
      <c r="E137" s="191">
        <v>500</v>
      </c>
      <c r="F137" s="17"/>
      <c r="G137" s="17"/>
      <c r="H137" s="17"/>
      <c r="I137" s="17"/>
      <c r="J137" s="17"/>
    </row>
    <row r="138" spans="1:10" ht="13.5" customHeight="1">
      <c r="A138" s="450" t="s">
        <v>263</v>
      </c>
      <c r="B138" s="451"/>
      <c r="C138" s="451"/>
      <c r="D138" s="165">
        <v>3.06</v>
      </c>
      <c r="E138" s="191">
        <v>500</v>
      </c>
      <c r="F138" s="17"/>
      <c r="G138" s="17"/>
      <c r="H138" s="17"/>
      <c r="I138" s="17"/>
      <c r="J138" s="17"/>
    </row>
    <row r="139" spans="1:10" ht="13.5" customHeight="1">
      <c r="A139" s="450" t="s">
        <v>264</v>
      </c>
      <c r="B139" s="451"/>
      <c r="C139" s="451"/>
      <c r="D139" s="165">
        <v>9.6</v>
      </c>
      <c r="E139" s="191">
        <v>500</v>
      </c>
      <c r="F139" s="17"/>
      <c r="G139" s="17"/>
      <c r="H139" s="17"/>
      <c r="I139" s="17"/>
      <c r="J139" s="17"/>
    </row>
    <row r="140" spans="1:10" ht="13.5" customHeight="1">
      <c r="A140" s="450" t="s">
        <v>281</v>
      </c>
      <c r="B140" s="451"/>
      <c r="C140" s="451"/>
      <c r="D140" s="165">
        <v>6.72</v>
      </c>
      <c r="E140" s="191">
        <v>500</v>
      </c>
      <c r="F140" s="17"/>
      <c r="G140" s="17"/>
      <c r="H140" s="17"/>
      <c r="I140" s="17"/>
      <c r="J140" s="17"/>
    </row>
    <row r="141" spans="1:10" ht="13.5" customHeight="1">
      <c r="A141" s="450" t="s">
        <v>265</v>
      </c>
      <c r="B141" s="451"/>
      <c r="C141" s="451"/>
      <c r="D141" s="165">
        <v>2.88</v>
      </c>
      <c r="E141" s="191">
        <v>500</v>
      </c>
      <c r="F141" s="17"/>
      <c r="G141" s="17"/>
      <c r="H141" s="17"/>
      <c r="I141" s="17"/>
      <c r="J141" s="17"/>
    </row>
    <row r="142" spans="1:10" ht="13.5" customHeight="1">
      <c r="A142" s="450" t="s">
        <v>266</v>
      </c>
      <c r="B142" s="451"/>
      <c r="C142" s="451"/>
      <c r="D142" s="165">
        <v>13.2</v>
      </c>
      <c r="E142" s="191">
        <v>500</v>
      </c>
      <c r="F142" s="17"/>
      <c r="G142" s="17"/>
      <c r="H142" s="17"/>
      <c r="I142" s="17"/>
      <c r="J142" s="17"/>
    </row>
    <row r="143" spans="1:10" ht="13.5" customHeight="1">
      <c r="A143" s="450" t="s">
        <v>282</v>
      </c>
      <c r="B143" s="451"/>
      <c r="C143" s="451"/>
      <c r="D143" s="165">
        <v>9.24</v>
      </c>
      <c r="E143" s="191">
        <v>500</v>
      </c>
      <c r="F143" s="17"/>
      <c r="G143" s="17"/>
      <c r="H143" s="17"/>
      <c r="I143" s="17"/>
      <c r="J143" s="17"/>
    </row>
    <row r="144" spans="1:10" ht="13.5" customHeight="1">
      <c r="A144" s="450" t="s">
        <v>267</v>
      </c>
      <c r="B144" s="451"/>
      <c r="C144" s="451"/>
      <c r="D144" s="165">
        <v>3.96</v>
      </c>
      <c r="E144" s="191">
        <v>500</v>
      </c>
      <c r="F144" s="17"/>
      <c r="G144" s="17"/>
      <c r="H144" s="17"/>
      <c r="I144" s="17"/>
      <c r="J144" s="17"/>
    </row>
    <row r="145" spans="1:10" ht="13.5" customHeight="1">
      <c r="A145" s="164" t="s">
        <v>268</v>
      </c>
      <c r="B145" s="170"/>
      <c r="C145" s="171"/>
      <c r="D145" s="165">
        <v>18</v>
      </c>
      <c r="E145" s="191">
        <v>1000</v>
      </c>
      <c r="F145" s="17"/>
      <c r="G145" s="17"/>
      <c r="H145" s="17"/>
      <c r="I145" s="17"/>
      <c r="J145" s="17"/>
    </row>
    <row r="146" spans="1:10" ht="13.5" customHeight="1">
      <c r="A146" s="164" t="s">
        <v>269</v>
      </c>
      <c r="B146" s="170"/>
      <c r="C146" s="171"/>
      <c r="D146" s="165">
        <v>12.6</v>
      </c>
      <c r="E146" s="191">
        <v>1000</v>
      </c>
      <c r="F146" s="17"/>
      <c r="G146" s="17"/>
      <c r="H146" s="17"/>
      <c r="I146" s="17"/>
      <c r="J146" s="17"/>
    </row>
    <row r="147" spans="1:10" ht="13.5" customHeight="1">
      <c r="A147" s="164" t="s">
        <v>270</v>
      </c>
      <c r="B147" s="170"/>
      <c r="C147" s="171"/>
      <c r="D147" s="165">
        <v>5.4</v>
      </c>
      <c r="E147" s="191">
        <v>1000</v>
      </c>
      <c r="F147" s="17"/>
      <c r="G147" s="17"/>
      <c r="H147" s="17"/>
      <c r="I147" s="17"/>
      <c r="J147" s="17"/>
    </row>
    <row r="148" spans="1:10" ht="13.5" customHeight="1">
      <c r="A148" s="17"/>
      <c r="B148" s="17"/>
      <c r="C148" s="17"/>
      <c r="D148" s="17"/>
      <c r="E148" s="188"/>
      <c r="F148" s="17"/>
      <c r="G148" s="17"/>
      <c r="H148" s="17"/>
      <c r="I148" s="17"/>
      <c r="J148" s="17"/>
    </row>
    <row r="149" spans="1:10" ht="13.5" customHeight="1">
      <c r="A149" s="17"/>
      <c r="B149" s="17"/>
      <c r="C149" s="17"/>
      <c r="D149" s="17"/>
      <c r="E149" s="188"/>
      <c r="F149" s="17"/>
      <c r="G149" s="17"/>
      <c r="H149" s="17"/>
      <c r="I149" s="17"/>
      <c r="J149" s="17"/>
    </row>
    <row r="150" ht="12.75"/>
    <row r="151" ht="12.75"/>
    <row r="152" spans="1:10" ht="13.5" customHeight="1">
      <c r="A152"/>
      <c r="B152"/>
      <c r="C152"/>
      <c r="D152"/>
      <c r="E152" s="192"/>
      <c r="F152"/>
      <c r="G152"/>
      <c r="H152"/>
      <c r="I152"/>
      <c r="J152"/>
    </row>
    <row r="153" ht="13.5" customHeight="1">
      <c r="G153" s="11"/>
    </row>
    <row r="154" spans="2:9" ht="13.5" customHeight="1">
      <c r="B154" s="470" t="s">
        <v>110</v>
      </c>
      <c r="C154" s="471"/>
      <c r="D154" s="472"/>
      <c r="F154" s="124" t="s">
        <v>189</v>
      </c>
      <c r="G154" s="144"/>
      <c r="H154" s="144"/>
      <c r="I154" s="145"/>
    </row>
    <row r="155" spans="2:9" ht="13.5" customHeight="1">
      <c r="B155" s="101" t="s">
        <v>129</v>
      </c>
      <c r="C155" s="80"/>
      <c r="D155" s="100"/>
      <c r="F155" s="99"/>
      <c r="G155" s="80"/>
      <c r="H155" s="80"/>
      <c r="I155" s="100"/>
    </row>
    <row r="156" spans="2:9" ht="13.5" customHeight="1">
      <c r="B156" s="101" t="s">
        <v>137</v>
      </c>
      <c r="C156" s="80"/>
      <c r="D156" s="100"/>
      <c r="F156" s="143"/>
      <c r="G156" s="148" t="s">
        <v>108</v>
      </c>
      <c r="H156" s="148" t="s">
        <v>109</v>
      </c>
      <c r="I156" s="149" t="s">
        <v>188</v>
      </c>
    </row>
    <row r="157" spans="2:9" ht="13.5" customHeight="1">
      <c r="B157" s="99" t="s">
        <v>82</v>
      </c>
      <c r="C157" s="80"/>
      <c r="D157" s="100"/>
      <c r="F157" s="152" t="s">
        <v>193</v>
      </c>
      <c r="G157" s="153">
        <v>5</v>
      </c>
      <c r="H157" s="153">
        <v>10</v>
      </c>
      <c r="I157" s="154">
        <v>15</v>
      </c>
    </row>
    <row r="158" spans="2:9" ht="13.5" customHeight="1">
      <c r="B158" s="101" t="s">
        <v>60</v>
      </c>
      <c r="C158" s="80"/>
      <c r="D158" s="100"/>
      <c r="F158" s="142" t="s">
        <v>194</v>
      </c>
      <c r="G158" s="146">
        <f>C36</f>
        <v>2022</v>
      </c>
      <c r="H158" s="146">
        <f>C36</f>
        <v>2022</v>
      </c>
      <c r="I158" s="147">
        <f>C36</f>
        <v>2022</v>
      </c>
    </row>
    <row r="159" spans="2:9" ht="13.5" customHeight="1">
      <c r="B159" s="101" t="s">
        <v>84</v>
      </c>
      <c r="C159" s="80"/>
      <c r="D159" s="100"/>
      <c r="F159" s="142" t="s">
        <v>195</v>
      </c>
      <c r="G159" s="146">
        <f>F36</f>
        <v>2022</v>
      </c>
      <c r="H159" s="146">
        <f>F36</f>
        <v>2022</v>
      </c>
      <c r="I159" s="147">
        <f>F36</f>
        <v>2022</v>
      </c>
    </row>
    <row r="160" spans="2:9" ht="13.5" customHeight="1">
      <c r="B160" s="101" t="s">
        <v>83</v>
      </c>
      <c r="C160" s="80"/>
      <c r="D160" s="100"/>
      <c r="F160" s="142" t="s">
        <v>196</v>
      </c>
      <c r="G160" s="146">
        <f>H36</f>
        <v>2022</v>
      </c>
      <c r="H160" s="146">
        <f>H36</f>
        <v>2022</v>
      </c>
      <c r="I160" s="147">
        <f>H36</f>
        <v>2022</v>
      </c>
    </row>
    <row r="161" spans="2:9" ht="13.5" customHeight="1">
      <c r="B161" s="102" t="s">
        <v>85</v>
      </c>
      <c r="C161" s="103"/>
      <c r="D161" s="104"/>
      <c r="F161" s="143"/>
      <c r="G161" s="148" t="s">
        <v>108</v>
      </c>
      <c r="H161" s="148" t="s">
        <v>109</v>
      </c>
      <c r="I161" s="149" t="s">
        <v>188</v>
      </c>
    </row>
    <row r="162" spans="6:9" ht="13.5" customHeight="1">
      <c r="F162" s="142" t="s">
        <v>197</v>
      </c>
      <c r="G162" s="151">
        <f>IF(G158&gt;$G$157,1,0)</f>
        <v>1</v>
      </c>
      <c r="H162" s="151">
        <f>IF(H158&gt;$H$157,1,0)</f>
        <v>1</v>
      </c>
      <c r="I162" s="150">
        <f>IF(I158&gt;$I$157,1,0)</f>
        <v>1</v>
      </c>
    </row>
    <row r="163" spans="6:9" ht="13.5" customHeight="1">
      <c r="F163" s="142" t="s">
        <v>198</v>
      </c>
      <c r="G163" s="151">
        <f>IF(G159&gt;$G$157,1,0)</f>
        <v>1</v>
      </c>
      <c r="H163" s="151">
        <f>IF(H159&gt;$H$157,1,0)</f>
        <v>1</v>
      </c>
      <c r="I163" s="150">
        <f>IF(I159&gt;$I$157,1,0)</f>
        <v>1</v>
      </c>
    </row>
    <row r="164" spans="6:9" ht="13.5" customHeight="1">
      <c r="F164" s="142" t="s">
        <v>199</v>
      </c>
      <c r="G164" s="151">
        <f>IF(G160&gt;$G$157,1,0)</f>
        <v>1</v>
      </c>
      <c r="H164" s="151">
        <f>IF(H160&gt;$H$157,1,0)</f>
        <v>1</v>
      </c>
      <c r="I164" s="150">
        <f>IF(I160&gt;$I$157,1,0)</f>
        <v>1</v>
      </c>
    </row>
    <row r="165" spans="6:9" ht="13.5" customHeight="1">
      <c r="F165" s="102"/>
      <c r="G165" s="103"/>
      <c r="H165" s="103"/>
      <c r="I165" s="104"/>
    </row>
    <row r="166" spans="2:5" ht="13.5" customHeight="1">
      <c r="B166" s="105" t="s">
        <v>127</v>
      </c>
      <c r="C166" s="105" t="s">
        <v>55</v>
      </c>
      <c r="D166" s="105" t="s">
        <v>128</v>
      </c>
      <c r="E166" s="193" t="s">
        <v>283</v>
      </c>
    </row>
    <row r="167" spans="1:5" ht="13.5" customHeight="1">
      <c r="A167" s="106"/>
      <c r="B167" s="162" t="s">
        <v>129</v>
      </c>
      <c r="C167" s="106" t="s">
        <v>130</v>
      </c>
      <c r="D167" s="107" t="s">
        <v>131</v>
      </c>
      <c r="E167" s="174" t="str">
        <f>B167&amp;C167</f>
        <v>ErntemaschinenFeldhäcksler</v>
      </c>
    </row>
    <row r="168" spans="1:10" ht="13.5" customHeight="1">
      <c r="A168" s="106"/>
      <c r="B168" s="162" t="s">
        <v>129</v>
      </c>
      <c r="C168" s="106" t="s">
        <v>132</v>
      </c>
      <c r="D168" s="107" t="s">
        <v>133</v>
      </c>
      <c r="E168" s="174" t="str">
        <f aca="true" t="shared" si="0" ref="E168:E231">B168&amp;C168</f>
        <v>ErntemaschinenKartoffelvollernter</v>
      </c>
      <c r="F168" s="151"/>
      <c r="G168" s="151"/>
      <c r="H168" s="151"/>
      <c r="I168" s="151"/>
      <c r="J168" s="151"/>
    </row>
    <row r="169" spans="1:10" ht="13.5" customHeight="1">
      <c r="A169" s="106"/>
      <c r="B169" s="162" t="s">
        <v>129</v>
      </c>
      <c r="C169" s="106" t="s">
        <v>212</v>
      </c>
      <c r="D169" s="107">
        <v>6312</v>
      </c>
      <c r="E169" s="174" t="str">
        <f t="shared" si="0"/>
        <v>ErntemaschinenKartoffelroder</v>
      </c>
      <c r="F169" s="156"/>
      <c r="G169" s="148" t="s">
        <v>197</v>
      </c>
      <c r="H169" s="148" t="s">
        <v>198</v>
      </c>
      <c r="I169" s="148" t="s">
        <v>199</v>
      </c>
      <c r="J169" s="151"/>
    </row>
    <row r="170" spans="1:10" ht="13.5" customHeight="1">
      <c r="A170" s="106"/>
      <c r="B170" s="162" t="s">
        <v>129</v>
      </c>
      <c r="C170" s="106" t="s">
        <v>134</v>
      </c>
      <c r="D170" s="107">
        <v>6311</v>
      </c>
      <c r="E170" s="174" t="str">
        <f t="shared" si="0"/>
        <v>ErntemaschinenMähdrescher</v>
      </c>
      <c r="F170" s="155" t="s">
        <v>108</v>
      </c>
      <c r="G170" s="146">
        <f>IF(G158&gt;$G$157,1,0)</f>
        <v>1</v>
      </c>
      <c r="H170" s="146">
        <f>IF(G159&gt;$G$157,1,0)</f>
        <v>1</v>
      </c>
      <c r="I170" s="146">
        <f>IF(G160&gt;$G$157,1,0)</f>
        <v>1</v>
      </c>
      <c r="J170" s="151"/>
    </row>
    <row r="171" spans="1:10" ht="13.5" customHeight="1">
      <c r="A171" s="106"/>
      <c r="B171" s="162" t="s">
        <v>129</v>
      </c>
      <c r="C171" s="106" t="s">
        <v>135</v>
      </c>
      <c r="D171" s="107">
        <v>6314</v>
      </c>
      <c r="E171" s="174" t="str">
        <f t="shared" si="0"/>
        <v>ErntemaschinenMaishäcksler</v>
      </c>
      <c r="F171" s="155" t="s">
        <v>109</v>
      </c>
      <c r="G171" s="146">
        <f>IF(H158&gt;$H$157,1,0)</f>
        <v>1</v>
      </c>
      <c r="H171" s="146">
        <f>IF(H159&gt;$H$157,1,0)</f>
        <v>1</v>
      </c>
      <c r="I171" s="146">
        <f>IF(H160&gt;$H$157,1,0)</f>
        <v>1</v>
      </c>
      <c r="J171" s="151"/>
    </row>
    <row r="172" spans="1:10" ht="13.5" customHeight="1">
      <c r="A172" s="106"/>
      <c r="B172" s="162" t="s">
        <v>129</v>
      </c>
      <c r="C172" s="106" t="s">
        <v>136</v>
      </c>
      <c r="D172" s="107">
        <v>6312</v>
      </c>
      <c r="E172" s="174" t="str">
        <f t="shared" si="0"/>
        <v>ErntemaschinenRübenvollernter</v>
      </c>
      <c r="F172" s="155" t="s">
        <v>188</v>
      </c>
      <c r="G172" s="146">
        <f>IF(I158&gt;$I$157,1,0)</f>
        <v>1</v>
      </c>
      <c r="H172" s="146">
        <f>IF(I159&gt;$I$157,1,0)</f>
        <v>1</v>
      </c>
      <c r="I172" s="146">
        <f>IF(I160&gt;$I$157,1,0)</f>
        <v>1</v>
      </c>
      <c r="J172" s="151"/>
    </row>
    <row r="173" spans="1:10" ht="13.5" customHeight="1">
      <c r="A173" s="106"/>
      <c r="B173" s="162" t="s">
        <v>129</v>
      </c>
      <c r="C173" s="106" t="s">
        <v>213</v>
      </c>
      <c r="D173" s="107">
        <v>6312</v>
      </c>
      <c r="E173" s="174" t="str">
        <f t="shared" si="0"/>
        <v>ErntemaschinenRübenroder</v>
      </c>
      <c r="F173" s="155" t="s">
        <v>114</v>
      </c>
      <c r="G173" s="146">
        <v>0</v>
      </c>
      <c r="H173" s="146">
        <v>0</v>
      </c>
      <c r="I173" s="146">
        <v>0</v>
      </c>
      <c r="J173" s="151"/>
    </row>
    <row r="174" spans="1:10" ht="13.5" customHeight="1">
      <c r="A174" s="106"/>
      <c r="B174" s="162" t="s">
        <v>129</v>
      </c>
      <c r="C174" s="106" t="s">
        <v>204</v>
      </c>
      <c r="D174" s="107">
        <v>6313</v>
      </c>
      <c r="E174" s="174" t="str">
        <f t="shared" si="0"/>
        <v>ErntemaschinenTraubenvollernter</v>
      </c>
      <c r="F174" s="151"/>
      <c r="G174" s="146"/>
      <c r="H174" s="146"/>
      <c r="I174" s="146"/>
      <c r="J174" s="151"/>
    </row>
    <row r="175" spans="1:10" ht="13.5" customHeight="1">
      <c r="A175" s="106"/>
      <c r="B175" s="162" t="s">
        <v>129</v>
      </c>
      <c r="C175" s="106" t="s">
        <v>205</v>
      </c>
      <c r="D175" s="107">
        <v>6313</v>
      </c>
      <c r="E175" s="174" t="str">
        <f t="shared" si="0"/>
        <v>ErntemaschinenTraubenleser</v>
      </c>
      <c r="F175" s="151"/>
      <c r="G175" s="151"/>
      <c r="H175" s="151"/>
      <c r="I175" s="151"/>
      <c r="J175" s="151"/>
    </row>
    <row r="176" spans="1:10" ht="13.5" customHeight="1">
      <c r="A176" s="106"/>
      <c r="B176" s="106" t="s">
        <v>137</v>
      </c>
      <c r="C176" s="106" t="s">
        <v>138</v>
      </c>
      <c r="D176" s="107" t="s">
        <v>139</v>
      </c>
      <c r="E176" s="174" t="str">
        <f t="shared" si="0"/>
        <v>ZugmaschinenAckerschlepper</v>
      </c>
      <c r="F176" s="151"/>
      <c r="G176" s="151"/>
      <c r="H176" s="151"/>
      <c r="I176" s="151"/>
      <c r="J176" s="151"/>
    </row>
    <row r="177" spans="1:5" ht="13.5" customHeight="1">
      <c r="A177" s="106"/>
      <c r="B177" s="106" t="s">
        <v>137</v>
      </c>
      <c r="C177" s="106" t="s">
        <v>140</v>
      </c>
      <c r="D177" s="107" t="s">
        <v>139</v>
      </c>
      <c r="E177" s="174" t="str">
        <f t="shared" si="0"/>
        <v>ZugmaschinenKleintraktor</v>
      </c>
    </row>
    <row r="178" spans="1:5" ht="13.5" customHeight="1">
      <c r="A178" s="106"/>
      <c r="B178" s="106" t="s">
        <v>137</v>
      </c>
      <c r="C178" s="106" t="s">
        <v>141</v>
      </c>
      <c r="D178" s="107" t="s">
        <v>139</v>
      </c>
      <c r="E178" s="174" t="str">
        <f t="shared" si="0"/>
        <v>ZugmaschinenLandwirtschaftl. Zugmaschine</v>
      </c>
    </row>
    <row r="179" spans="1:5" ht="13.5" customHeight="1">
      <c r="A179" s="106"/>
      <c r="B179" s="106" t="s">
        <v>137</v>
      </c>
      <c r="C179" s="106" t="s">
        <v>142</v>
      </c>
      <c r="D179" s="107" t="s">
        <v>139</v>
      </c>
      <c r="E179" s="174" t="str">
        <f t="shared" si="0"/>
        <v>ZugmaschinenSchlepper</v>
      </c>
    </row>
    <row r="180" spans="1:8" ht="13.5" customHeight="1">
      <c r="A180" s="106"/>
      <c r="B180" s="106" t="s">
        <v>137</v>
      </c>
      <c r="C180" s="106" t="s">
        <v>143</v>
      </c>
      <c r="D180" s="107" t="s">
        <v>139</v>
      </c>
      <c r="E180" s="174" t="str">
        <f t="shared" si="0"/>
        <v>ZugmaschinenTraktor</v>
      </c>
      <c r="G180" s="242" t="s">
        <v>322</v>
      </c>
      <c r="H180" s="145"/>
    </row>
    <row r="181" spans="2:8" ht="13.5" customHeight="1">
      <c r="B181" s="162" t="s">
        <v>82</v>
      </c>
      <c r="C181" s="106" t="s">
        <v>144</v>
      </c>
      <c r="D181" s="107" t="s">
        <v>145</v>
      </c>
      <c r="E181" s="174" t="str">
        <f t="shared" si="0"/>
        <v>ArbeitsmaschinenFuttermischwagen</v>
      </c>
      <c r="G181" s="101" t="s">
        <v>321</v>
      </c>
      <c r="H181" s="100"/>
    </row>
    <row r="182" spans="2:8" ht="13.5" customHeight="1">
      <c r="B182" s="162" t="s">
        <v>82</v>
      </c>
      <c r="C182" s="106" t="s">
        <v>146</v>
      </c>
      <c r="D182" s="107" t="s">
        <v>145</v>
      </c>
      <c r="E182" s="174" t="str">
        <f t="shared" si="0"/>
        <v>ArbeitsmaschinenGülleselbstfahrer</v>
      </c>
      <c r="G182" s="272" t="s">
        <v>320</v>
      </c>
      <c r="H182" s="104"/>
    </row>
    <row r="183" spans="2:5" ht="13.5" customHeight="1">
      <c r="B183" s="162" t="s">
        <v>82</v>
      </c>
      <c r="C183" s="106" t="s">
        <v>147</v>
      </c>
      <c r="D183" s="107" t="s">
        <v>145</v>
      </c>
      <c r="E183" s="174" t="str">
        <f t="shared" si="0"/>
        <v>ArbeitsmaschinenSelbstfahrende Feldspritze</v>
      </c>
    </row>
    <row r="184" spans="1:5" ht="13.5" customHeight="1">
      <c r="A184" s="106"/>
      <c r="B184" s="106" t="s">
        <v>60</v>
      </c>
      <c r="C184" s="106" t="s">
        <v>148</v>
      </c>
      <c r="D184" s="107" t="s">
        <v>145</v>
      </c>
      <c r="E184" s="174" t="str">
        <f t="shared" si="0"/>
        <v>AnhängerAbschiebewagen</v>
      </c>
    </row>
    <row r="185" spans="1:5" ht="13.5" customHeight="1">
      <c r="A185" s="106"/>
      <c r="B185" s="106" t="s">
        <v>60</v>
      </c>
      <c r="C185" s="106" t="s">
        <v>149</v>
      </c>
      <c r="D185" s="107" t="s">
        <v>145</v>
      </c>
      <c r="E185" s="174" t="str">
        <f t="shared" si="0"/>
        <v>AnhängerBallensammelwagen</v>
      </c>
    </row>
    <row r="186" spans="1:5" ht="13.5" customHeight="1">
      <c r="A186" s="106"/>
      <c r="B186" s="106" t="s">
        <v>60</v>
      </c>
      <c r="C186" s="106" t="s">
        <v>208</v>
      </c>
      <c r="D186" s="107" t="s">
        <v>145</v>
      </c>
      <c r="E186" s="174" t="str">
        <f t="shared" si="0"/>
        <v>AnhängerGüllewagen</v>
      </c>
    </row>
    <row r="187" spans="1:5" ht="13.5" customHeight="1">
      <c r="A187" s="106"/>
      <c r="B187" s="106" t="s">
        <v>60</v>
      </c>
      <c r="C187" s="106" t="s">
        <v>209</v>
      </c>
      <c r="D187" s="107" t="s">
        <v>145</v>
      </c>
      <c r="E187" s="174" t="str">
        <f t="shared" si="0"/>
        <v>AnhängerGüllefass</v>
      </c>
    </row>
    <row r="188" spans="2:5" ht="13.5" customHeight="1">
      <c r="B188" s="106" t="s">
        <v>60</v>
      </c>
      <c r="C188" s="106" t="s">
        <v>214</v>
      </c>
      <c r="D188" s="107" t="s">
        <v>145</v>
      </c>
      <c r="E188" s="174" t="str">
        <f t="shared" si="0"/>
        <v>AnhängerLadewagen</v>
      </c>
    </row>
    <row r="189" spans="1:5" ht="13.5" customHeight="1">
      <c r="A189" s="106"/>
      <c r="B189" s="106" t="s">
        <v>60</v>
      </c>
      <c r="C189" s="106" t="s">
        <v>215</v>
      </c>
      <c r="D189" s="107" t="s">
        <v>145</v>
      </c>
      <c r="E189" s="174" t="str">
        <f t="shared" si="0"/>
        <v>AnhängerÜberladewagen</v>
      </c>
    </row>
    <row r="190" spans="1:5" ht="13.5" customHeight="1">
      <c r="A190" s="106"/>
      <c r="B190" s="106" t="s">
        <v>60</v>
      </c>
      <c r="C190" s="106" t="s">
        <v>206</v>
      </c>
      <c r="D190" s="107" t="s">
        <v>145</v>
      </c>
      <c r="E190" s="174" t="str">
        <f t="shared" si="0"/>
        <v>AnhängerSilagewagen</v>
      </c>
    </row>
    <row r="191" spans="2:5" ht="13.5" customHeight="1">
      <c r="B191" s="106" t="s">
        <v>60</v>
      </c>
      <c r="C191" s="106" t="s">
        <v>207</v>
      </c>
      <c r="D191" s="107" t="s">
        <v>145</v>
      </c>
      <c r="E191" s="174" t="str">
        <f t="shared" si="0"/>
        <v>AnhängerSilageanhänger</v>
      </c>
    </row>
    <row r="192" spans="1:5" ht="13.5" customHeight="1">
      <c r="A192" s="106"/>
      <c r="B192" s="106" t="s">
        <v>60</v>
      </c>
      <c r="C192" s="106" t="s">
        <v>216</v>
      </c>
      <c r="D192" s="107" t="s">
        <v>145</v>
      </c>
      <c r="E192" s="174" t="str">
        <f t="shared" si="0"/>
        <v>AnhängerTransportanhänger</v>
      </c>
    </row>
    <row r="193" spans="2:5" ht="13.5" customHeight="1">
      <c r="B193" s="162" t="s">
        <v>84</v>
      </c>
      <c r="C193" s="1" t="s">
        <v>230</v>
      </c>
      <c r="D193" s="107">
        <v>6319</v>
      </c>
      <c r="E193" s="174" t="str">
        <f t="shared" si="0"/>
        <v>AnbaugeräteAckerwalze</v>
      </c>
    </row>
    <row r="194" spans="1:5" ht="13.5" customHeight="1">
      <c r="A194" s="106"/>
      <c r="B194" s="162" t="s">
        <v>84</v>
      </c>
      <c r="C194" s="106" t="s">
        <v>233</v>
      </c>
      <c r="D194" s="107">
        <v>6319</v>
      </c>
      <c r="E194" s="174" t="str">
        <f t="shared" si="0"/>
        <v>AnbaugeräteAnhängefeldspritze</v>
      </c>
    </row>
    <row r="195" spans="2:5" ht="13.5" customHeight="1">
      <c r="B195" s="162" t="s">
        <v>84</v>
      </c>
      <c r="C195" s="1" t="s">
        <v>217</v>
      </c>
      <c r="D195" s="107">
        <v>6319</v>
      </c>
      <c r="E195" s="174" t="str">
        <f t="shared" si="0"/>
        <v>AnbaugeräteBalkenmäher</v>
      </c>
    </row>
    <row r="196" spans="1:5" ht="13.5" customHeight="1">
      <c r="A196" s="106"/>
      <c r="B196" s="162" t="s">
        <v>84</v>
      </c>
      <c r="C196" s="106" t="s">
        <v>232</v>
      </c>
      <c r="D196" s="107">
        <v>6315</v>
      </c>
      <c r="E196" s="174" t="str">
        <f t="shared" si="0"/>
        <v>AnbaugeräteBallenpresse (Quader)</v>
      </c>
    </row>
    <row r="197" spans="1:5" ht="13.5" customHeight="1">
      <c r="A197" s="106"/>
      <c r="B197" s="162" t="s">
        <v>84</v>
      </c>
      <c r="C197" s="106" t="s">
        <v>231</v>
      </c>
      <c r="D197" s="107">
        <v>6315</v>
      </c>
      <c r="E197" s="174" t="str">
        <f t="shared" si="0"/>
        <v>AnbaugeräteBallenpresse (Rundballen)</v>
      </c>
    </row>
    <row r="198" spans="1:5" ht="13.5" customHeight="1">
      <c r="A198" s="106"/>
      <c r="B198" s="162" t="s">
        <v>84</v>
      </c>
      <c r="C198" s="106" t="s">
        <v>150</v>
      </c>
      <c r="D198" s="107">
        <v>6319</v>
      </c>
      <c r="E198" s="174" t="str">
        <f t="shared" si="0"/>
        <v>AnbaugeräteBeregnungsanlage</v>
      </c>
    </row>
    <row r="199" spans="2:5" ht="13.5" customHeight="1">
      <c r="B199" s="162" t="s">
        <v>84</v>
      </c>
      <c r="C199" s="1" t="s">
        <v>219</v>
      </c>
      <c r="D199" s="107">
        <v>6319</v>
      </c>
      <c r="E199" s="174" t="str">
        <f t="shared" si="0"/>
        <v>AnbaugeräteBeregnungsmaschine</v>
      </c>
    </row>
    <row r="200" spans="1:5" ht="13.5" customHeight="1">
      <c r="A200" s="106"/>
      <c r="B200" s="162" t="s">
        <v>84</v>
      </c>
      <c r="C200" s="106" t="s">
        <v>151</v>
      </c>
      <c r="D200" s="107">
        <v>6310</v>
      </c>
      <c r="E200" s="174" t="str">
        <f t="shared" si="0"/>
        <v>AnbaugeräteDrillmaschine</v>
      </c>
    </row>
    <row r="201" spans="1:5" ht="13.5" customHeight="1">
      <c r="A201" s="106"/>
      <c r="B201" s="162" t="s">
        <v>84</v>
      </c>
      <c r="C201" s="106" t="s">
        <v>152</v>
      </c>
      <c r="D201" s="107">
        <v>6319</v>
      </c>
      <c r="E201" s="174" t="str">
        <f t="shared" si="0"/>
        <v>AnbaugeräteDüngerstreuer</v>
      </c>
    </row>
    <row r="202" spans="1:5" ht="13.5" customHeight="1">
      <c r="A202" s="106"/>
      <c r="B202" s="162" t="s">
        <v>84</v>
      </c>
      <c r="C202" s="106" t="s">
        <v>153</v>
      </c>
      <c r="D202" s="107">
        <v>6319</v>
      </c>
      <c r="E202" s="174" t="str">
        <f t="shared" si="0"/>
        <v>AnbaugeräteEgge</v>
      </c>
    </row>
    <row r="203" spans="1:5" ht="13.5" customHeight="1">
      <c r="A203" s="106"/>
      <c r="B203" s="162" t="s">
        <v>84</v>
      </c>
      <c r="C203" s="106" t="s">
        <v>234</v>
      </c>
      <c r="D203" s="107">
        <v>6319</v>
      </c>
      <c r="E203" s="174" t="str">
        <f t="shared" si="0"/>
        <v>AnbaugeräteFeldspritze</v>
      </c>
    </row>
    <row r="204" spans="2:5" ht="13.5" customHeight="1">
      <c r="B204" s="162" t="s">
        <v>84</v>
      </c>
      <c r="C204" s="1" t="s">
        <v>221</v>
      </c>
      <c r="D204" s="107">
        <v>6319</v>
      </c>
      <c r="E204" s="174" t="str">
        <f t="shared" si="0"/>
        <v>AnbaugeräteFräse (Bodenbearbeitung)</v>
      </c>
    </row>
    <row r="205" spans="1:5" ht="13.5" customHeight="1">
      <c r="A205" s="106"/>
      <c r="B205" s="162" t="s">
        <v>84</v>
      </c>
      <c r="C205" s="106" t="s">
        <v>154</v>
      </c>
      <c r="D205" s="107">
        <v>6319</v>
      </c>
      <c r="E205" s="174" t="str">
        <f t="shared" si="0"/>
        <v>AnbaugeräteFrontlader</v>
      </c>
    </row>
    <row r="206" spans="1:5" ht="13.5" customHeight="1">
      <c r="A206" s="106"/>
      <c r="B206" s="162" t="s">
        <v>84</v>
      </c>
      <c r="C206" s="106" t="s">
        <v>236</v>
      </c>
      <c r="D206" s="107">
        <v>6319</v>
      </c>
      <c r="E206" s="174" t="str">
        <f t="shared" si="0"/>
        <v>AnbaugeräteFrontmähwerk</v>
      </c>
    </row>
    <row r="207" spans="2:5" ht="13.5" customHeight="1">
      <c r="B207" s="162" t="s">
        <v>84</v>
      </c>
      <c r="C207" s="1" t="s">
        <v>222</v>
      </c>
      <c r="D207" s="107">
        <v>6315</v>
      </c>
      <c r="E207" s="174" t="str">
        <f t="shared" si="0"/>
        <v>AnbaugeräteGroßpackenpresse</v>
      </c>
    </row>
    <row r="208" spans="1:5" ht="13.5" customHeight="1">
      <c r="A208" s="106"/>
      <c r="B208" s="162" t="s">
        <v>84</v>
      </c>
      <c r="C208" s="106" t="s">
        <v>155</v>
      </c>
      <c r="D208" s="107">
        <v>6319</v>
      </c>
      <c r="E208" s="174" t="str">
        <f t="shared" si="0"/>
        <v>AnbaugeräteGrubber</v>
      </c>
    </row>
    <row r="209" spans="1:5" ht="13.5" customHeight="1">
      <c r="A209" s="106"/>
      <c r="B209" s="162" t="s">
        <v>84</v>
      </c>
      <c r="C209" s="106" t="s">
        <v>235</v>
      </c>
      <c r="D209" s="107">
        <v>6319</v>
      </c>
      <c r="E209" s="174" t="str">
        <f t="shared" si="0"/>
        <v>AnbaugeräteHeckmähwerk</v>
      </c>
    </row>
    <row r="210" spans="1:5" ht="13.5" customHeight="1">
      <c r="A210" s="106"/>
      <c r="B210" s="162" t="s">
        <v>84</v>
      </c>
      <c r="C210" s="106" t="s">
        <v>156</v>
      </c>
      <c r="D210" s="107">
        <v>6319</v>
      </c>
      <c r="E210" s="174" t="str">
        <f t="shared" si="0"/>
        <v>AnbaugeräteHeuwender</v>
      </c>
    </row>
    <row r="211" spans="1:5" ht="13.5" customHeight="1">
      <c r="A211" s="106"/>
      <c r="B211" s="162" t="s">
        <v>84</v>
      </c>
      <c r="C211" s="106" t="s">
        <v>157</v>
      </c>
      <c r="D211" s="107">
        <v>6319</v>
      </c>
      <c r="E211" s="174" t="str">
        <f t="shared" si="0"/>
        <v>AnbaugeräteHolzspalter</v>
      </c>
    </row>
    <row r="212" spans="1:5" ht="13.5" customHeight="1">
      <c r="A212" s="106"/>
      <c r="B212" s="162" t="s">
        <v>84</v>
      </c>
      <c r="C212" s="106" t="s">
        <v>158</v>
      </c>
      <c r="D212" s="107">
        <v>6319</v>
      </c>
      <c r="E212" s="174" t="str">
        <f t="shared" si="0"/>
        <v>AnbaugeräteKartoffellegemaschine</v>
      </c>
    </row>
    <row r="213" spans="2:5" ht="13.5" customHeight="1">
      <c r="B213" s="162" t="s">
        <v>84</v>
      </c>
      <c r="C213" s="1" t="s">
        <v>225</v>
      </c>
      <c r="D213" s="107">
        <v>6319</v>
      </c>
      <c r="E213" s="174" t="str">
        <f t="shared" si="0"/>
        <v>AnbaugeräteKegelspalter</v>
      </c>
    </row>
    <row r="214" spans="1:5" ht="13.5" customHeight="1">
      <c r="A214" s="106"/>
      <c r="B214" s="162" t="s">
        <v>84</v>
      </c>
      <c r="C214" s="106" t="s">
        <v>159</v>
      </c>
      <c r="D214" s="107">
        <v>6319</v>
      </c>
      <c r="E214" s="174" t="str">
        <f t="shared" si="0"/>
        <v>AnbaugeräteKreiselmäher, Kreiselmähwerk</v>
      </c>
    </row>
    <row r="215" spans="2:5" ht="13.5" customHeight="1">
      <c r="B215" s="162" t="s">
        <v>84</v>
      </c>
      <c r="C215" s="1" t="s">
        <v>223</v>
      </c>
      <c r="D215" s="107">
        <v>6319</v>
      </c>
      <c r="E215" s="174" t="str">
        <f t="shared" si="0"/>
        <v>AnbaugeräteKreiselwender</v>
      </c>
    </row>
    <row r="216" spans="2:5" ht="13.5" customHeight="1">
      <c r="B216" s="162" t="s">
        <v>84</v>
      </c>
      <c r="C216" s="1" t="s">
        <v>218</v>
      </c>
      <c r="D216" s="107">
        <v>6319</v>
      </c>
      <c r="E216" s="174" t="str">
        <f t="shared" si="0"/>
        <v>AnbaugeräteMähbalken</v>
      </c>
    </row>
    <row r="217" spans="2:5" ht="13.5" customHeight="1">
      <c r="B217" s="162" t="s">
        <v>84</v>
      </c>
      <c r="C217" s="1" t="s">
        <v>227</v>
      </c>
      <c r="D217" s="107">
        <v>6319</v>
      </c>
      <c r="E217" s="174" t="str">
        <f t="shared" si="0"/>
        <v>AnbaugeräteMähmulcher</v>
      </c>
    </row>
    <row r="218" spans="1:5" ht="13.5" customHeight="1">
      <c r="A218" s="106"/>
      <c r="B218" s="162" t="s">
        <v>84</v>
      </c>
      <c r="C218" s="106" t="s">
        <v>160</v>
      </c>
      <c r="D218" s="107">
        <v>6319</v>
      </c>
      <c r="E218" s="174" t="str">
        <f t="shared" si="0"/>
        <v>AnbaugeräteMiststreuer</v>
      </c>
    </row>
    <row r="219" spans="2:5" ht="13.5" customHeight="1">
      <c r="B219" s="162" t="s">
        <v>84</v>
      </c>
      <c r="C219" s="1" t="s">
        <v>226</v>
      </c>
      <c r="D219" s="107">
        <v>6319</v>
      </c>
      <c r="E219" s="174" t="str">
        <f t="shared" si="0"/>
        <v>AnbaugeräteMulchgerät</v>
      </c>
    </row>
    <row r="220" spans="2:9" ht="13.5" customHeight="1">
      <c r="B220" s="162" t="s">
        <v>84</v>
      </c>
      <c r="C220" s="1" t="s">
        <v>228</v>
      </c>
      <c r="D220" s="107">
        <v>6319</v>
      </c>
      <c r="E220" s="174" t="str">
        <f t="shared" si="0"/>
        <v>AnbaugerätePacker</v>
      </c>
      <c r="F220" s="13"/>
      <c r="G220" s="13"/>
      <c r="H220" s="13"/>
      <c r="I220" s="12"/>
    </row>
    <row r="221" spans="1:8" ht="13.5" customHeight="1">
      <c r="A221" s="106"/>
      <c r="B221" s="162" t="s">
        <v>84</v>
      </c>
      <c r="C221" s="106" t="s">
        <v>161</v>
      </c>
      <c r="D221" s="107">
        <v>6319</v>
      </c>
      <c r="E221" s="174" t="str">
        <f t="shared" si="0"/>
        <v>AnbaugerätePflug</v>
      </c>
      <c r="F221" s="106"/>
      <c r="G221" s="106"/>
      <c r="H221" s="106"/>
    </row>
    <row r="222" spans="1:8" ht="13.5" customHeight="1">
      <c r="A222" s="106"/>
      <c r="B222" s="162" t="s">
        <v>84</v>
      </c>
      <c r="C222" s="106" t="s">
        <v>162</v>
      </c>
      <c r="D222" s="107">
        <v>6310</v>
      </c>
      <c r="E222" s="174" t="str">
        <f t="shared" si="0"/>
        <v>AnbaugeräteSaat- und Sämaschine</v>
      </c>
      <c r="F222" s="106"/>
      <c r="G222" s="106"/>
      <c r="H222" s="106"/>
    </row>
    <row r="223" spans="2:8" ht="13.5" customHeight="1">
      <c r="B223" s="162" t="s">
        <v>84</v>
      </c>
      <c r="C223" s="1" t="s">
        <v>220</v>
      </c>
      <c r="D223" s="107">
        <v>6319</v>
      </c>
      <c r="E223" s="174" t="str">
        <f t="shared" si="0"/>
        <v>AnbaugeräteSaatbettkombination</v>
      </c>
      <c r="F223" s="106"/>
      <c r="G223" s="106"/>
      <c r="H223" s="106"/>
    </row>
    <row r="224" spans="1:8" ht="13.5" customHeight="1">
      <c r="A224" s="106"/>
      <c r="B224" s="162" t="s">
        <v>84</v>
      </c>
      <c r="C224" s="106" t="s">
        <v>163</v>
      </c>
      <c r="D224" s="107">
        <v>6319</v>
      </c>
      <c r="E224" s="174" t="str">
        <f t="shared" si="0"/>
        <v>AnbaugeräteSchwader</v>
      </c>
      <c r="F224" s="106"/>
      <c r="G224" s="106"/>
      <c r="H224" s="106"/>
    </row>
    <row r="225" spans="2:7" ht="13.5" customHeight="1">
      <c r="B225" s="162" t="s">
        <v>84</v>
      </c>
      <c r="C225" s="1" t="s">
        <v>229</v>
      </c>
      <c r="D225" s="107">
        <v>6319</v>
      </c>
      <c r="E225" s="174" t="str">
        <f t="shared" si="0"/>
        <v>AnbaugeräteSiloverteiler</v>
      </c>
      <c r="F225" s="106"/>
      <c r="G225" s="106"/>
    </row>
    <row r="226" spans="1:7" ht="13.5" customHeight="1">
      <c r="A226" s="106"/>
      <c r="B226" s="162" t="s">
        <v>84</v>
      </c>
      <c r="C226" s="106" t="s">
        <v>164</v>
      </c>
      <c r="D226" s="107">
        <v>6315</v>
      </c>
      <c r="E226" s="174" t="str">
        <f t="shared" si="0"/>
        <v>AnbaugeräteStroh(ballen)presse</v>
      </c>
      <c r="F226" s="106"/>
      <c r="G226" s="106"/>
    </row>
    <row r="227" spans="1:6" ht="13.5" customHeight="1">
      <c r="A227" s="106"/>
      <c r="B227" s="162" t="s">
        <v>84</v>
      </c>
      <c r="C227" s="106" t="s">
        <v>165</v>
      </c>
      <c r="D227" s="107">
        <v>6319</v>
      </c>
      <c r="E227" s="174" t="str">
        <f t="shared" si="0"/>
        <v>AnbaugeräteWalze</v>
      </c>
      <c r="F227" s="106"/>
    </row>
    <row r="228" spans="2:6" ht="13.5" customHeight="1">
      <c r="B228" s="162" t="s">
        <v>84</v>
      </c>
      <c r="C228" s="1" t="s">
        <v>224</v>
      </c>
      <c r="D228" s="107">
        <v>6319</v>
      </c>
      <c r="E228" s="174" t="str">
        <f t="shared" si="0"/>
        <v>AnbaugeräteZettwender</v>
      </c>
      <c r="F228" s="106"/>
    </row>
    <row r="229" spans="1:6" ht="13.5" customHeight="1">
      <c r="A229" s="106"/>
      <c r="B229" s="106" t="s">
        <v>83</v>
      </c>
      <c r="C229" s="106" t="s">
        <v>166</v>
      </c>
      <c r="D229" s="107" t="s">
        <v>167</v>
      </c>
      <c r="E229" s="174" t="str">
        <f t="shared" si="0"/>
        <v>LadegeräteGabelstapler</v>
      </c>
      <c r="F229" s="106"/>
    </row>
    <row r="230" spans="1:6" ht="13.5" customHeight="1">
      <c r="A230" s="106"/>
      <c r="B230" s="106" t="s">
        <v>83</v>
      </c>
      <c r="C230" s="106" t="s">
        <v>168</v>
      </c>
      <c r="D230" s="107" t="s">
        <v>145</v>
      </c>
      <c r="E230" s="174" t="str">
        <f t="shared" si="0"/>
        <v>LadegeräteHoflader</v>
      </c>
      <c r="F230" s="106"/>
    </row>
    <row r="231" spans="1:6" ht="13.5" customHeight="1">
      <c r="A231" s="106"/>
      <c r="B231" s="106" t="s">
        <v>83</v>
      </c>
      <c r="C231" s="106" t="s">
        <v>169</v>
      </c>
      <c r="D231" s="107" t="s">
        <v>145</v>
      </c>
      <c r="E231" s="174" t="str">
        <f t="shared" si="0"/>
        <v>LadegeräteKompaktbagger (bis max. 10 t)</v>
      </c>
      <c r="F231" s="106"/>
    </row>
    <row r="232" spans="1:6" ht="13.5" customHeight="1">
      <c r="A232" s="106"/>
      <c r="B232" s="106" t="s">
        <v>83</v>
      </c>
      <c r="C232" s="106" t="s">
        <v>170</v>
      </c>
      <c r="D232" s="107" t="s">
        <v>145</v>
      </c>
      <c r="E232" s="174" t="str">
        <f aca="true" t="shared" si="1" ref="E232:E240">B232&amp;C232</f>
        <v>LadegeräteKompaktlader</v>
      </c>
      <c r="F232" s="106"/>
    </row>
    <row r="233" spans="1:6" ht="13.5" customHeight="1">
      <c r="A233" s="106"/>
      <c r="B233" s="106" t="s">
        <v>83</v>
      </c>
      <c r="C233" s="106" t="s">
        <v>171</v>
      </c>
      <c r="D233" s="107" t="s">
        <v>172</v>
      </c>
      <c r="E233" s="174" t="str">
        <f t="shared" si="1"/>
        <v>LadegeräteRadlader</v>
      </c>
      <c r="F233" s="106"/>
    </row>
    <row r="234" spans="1:6" ht="13.5" customHeight="1">
      <c r="A234" s="106"/>
      <c r="B234" s="106" t="s">
        <v>83</v>
      </c>
      <c r="C234" s="106" t="s">
        <v>210</v>
      </c>
      <c r="D234" s="107" t="s">
        <v>145</v>
      </c>
      <c r="E234" s="174" t="str">
        <f t="shared" si="1"/>
        <v>LadegeräteTeleskoplader</v>
      </c>
      <c r="F234" s="106"/>
    </row>
    <row r="235" spans="1:6" ht="13.5" customHeight="1">
      <c r="A235" s="106"/>
      <c r="B235" s="106" t="s">
        <v>83</v>
      </c>
      <c r="C235" s="106" t="s">
        <v>211</v>
      </c>
      <c r="D235" s="107" t="s">
        <v>145</v>
      </c>
      <c r="E235" s="174" t="str">
        <f t="shared" si="1"/>
        <v>LadegeräteTeleskopstapler</v>
      </c>
      <c r="F235" s="106"/>
    </row>
    <row r="236" spans="1:6" ht="13.5" customHeight="1">
      <c r="A236" s="106"/>
      <c r="B236" s="162" t="s">
        <v>85</v>
      </c>
      <c r="C236" s="106" t="s">
        <v>173</v>
      </c>
      <c r="D236" s="107" t="s">
        <v>145</v>
      </c>
      <c r="E236" s="174" t="str">
        <f t="shared" si="1"/>
        <v>SpezialfahrzeugeMahl- und Mischwagen</v>
      </c>
      <c r="F236" s="106"/>
    </row>
    <row r="237" spans="1:6" ht="13.5" customHeight="1">
      <c r="A237" s="106"/>
      <c r="B237" s="162" t="s">
        <v>85</v>
      </c>
      <c r="C237" s="106" t="s">
        <v>238</v>
      </c>
      <c r="D237" s="107" t="s">
        <v>145</v>
      </c>
      <c r="E237" s="174" t="str">
        <f t="shared" si="1"/>
        <v>SpezialfahrzeugeMilchtransporter</v>
      </c>
      <c r="F237" s="106"/>
    </row>
    <row r="238" spans="1:6" ht="13.5" customHeight="1">
      <c r="A238" s="106"/>
      <c r="B238" s="162" t="s">
        <v>85</v>
      </c>
      <c r="C238" s="106" t="s">
        <v>174</v>
      </c>
      <c r="D238" s="107" t="s">
        <v>145</v>
      </c>
      <c r="E238" s="174" t="str">
        <f t="shared" si="1"/>
        <v>SpezialfahrzeugeTieflader</v>
      </c>
      <c r="F238" s="106"/>
    </row>
    <row r="239" spans="1:6" ht="13.5" customHeight="1">
      <c r="A239" s="106"/>
      <c r="B239" s="162" t="s">
        <v>85</v>
      </c>
      <c r="C239" s="106" t="s">
        <v>175</v>
      </c>
      <c r="D239" s="107" t="s">
        <v>145</v>
      </c>
      <c r="E239" s="174" t="str">
        <f t="shared" si="1"/>
        <v>SpezialfahrzeugeViehtransporter</v>
      </c>
      <c r="F239" s="106"/>
    </row>
    <row r="240" spans="1:5" ht="13.5" customHeight="1">
      <c r="A240" s="106"/>
      <c r="B240" s="162" t="s">
        <v>85</v>
      </c>
      <c r="C240" s="106" t="s">
        <v>237</v>
      </c>
      <c r="D240" s="107" t="s">
        <v>145</v>
      </c>
      <c r="E240" s="174" t="str">
        <f t="shared" si="1"/>
        <v>SpezialfahrzeugeMilchtankwagen</v>
      </c>
    </row>
    <row r="241" ht="13.5" customHeight="1">
      <c r="B241" s="106"/>
    </row>
    <row r="242" ht="13.5" customHeight="1">
      <c r="B242" s="106"/>
    </row>
    <row r="243" ht="13.5" customHeight="1">
      <c r="B243" s="106"/>
    </row>
    <row r="244" ht="13.5" customHeight="1">
      <c r="B244" s="106"/>
    </row>
  </sheetData>
  <sheetProtection selectLockedCells="1"/>
  <mergeCells count="72">
    <mergeCell ref="B154:D154"/>
    <mergeCell ref="A106:C106"/>
    <mergeCell ref="B98:D98"/>
    <mergeCell ref="C92:D92"/>
    <mergeCell ref="B76:D76"/>
    <mergeCell ref="A18:B18"/>
    <mergeCell ref="A101:J101"/>
    <mergeCell ref="C96:D96"/>
    <mergeCell ref="F90:F91"/>
    <mergeCell ref="F39:G39"/>
    <mergeCell ref="P46:P49"/>
    <mergeCell ref="P53:P56"/>
    <mergeCell ref="P43:P45"/>
    <mergeCell ref="Q47:R47"/>
    <mergeCell ref="Q54:R54"/>
    <mergeCell ref="D2:G2"/>
    <mergeCell ref="F36:G36"/>
    <mergeCell ref="H36:I36"/>
    <mergeCell ref="I37:J37"/>
    <mergeCell ref="C36:D36"/>
    <mergeCell ref="A8:D8"/>
    <mergeCell ref="I11:J11"/>
    <mergeCell ref="I5:J5"/>
    <mergeCell ref="A31:C31"/>
    <mergeCell ref="C37:D37"/>
    <mergeCell ref="H35:J35"/>
    <mergeCell ref="C35:D35"/>
    <mergeCell ref="F35:G35"/>
    <mergeCell ref="F37:G37"/>
    <mergeCell ref="A107:C107"/>
    <mergeCell ref="A108:C108"/>
    <mergeCell ref="I39:J39"/>
    <mergeCell ref="A49:B49"/>
    <mergeCell ref="A51:B51"/>
    <mergeCell ref="A57:B57"/>
    <mergeCell ref="A44:C44"/>
    <mergeCell ref="A39:B39"/>
    <mergeCell ref="C39:D39"/>
    <mergeCell ref="A109:C109"/>
    <mergeCell ref="A110:C110"/>
    <mergeCell ref="A111:C111"/>
    <mergeCell ref="A112:C112"/>
    <mergeCell ref="A113:C113"/>
    <mergeCell ref="A114:C114"/>
    <mergeCell ref="A130:C130"/>
    <mergeCell ref="A131:C131"/>
    <mergeCell ref="A115:C115"/>
    <mergeCell ref="A116:C116"/>
    <mergeCell ref="A117:C117"/>
    <mergeCell ref="A118:C118"/>
    <mergeCell ref="A119:C119"/>
    <mergeCell ref="A120:C120"/>
    <mergeCell ref="A142:C142"/>
    <mergeCell ref="A143:C143"/>
    <mergeCell ref="A121:C121"/>
    <mergeCell ref="A122:C122"/>
    <mergeCell ref="A123:C123"/>
    <mergeCell ref="A127:C127"/>
    <mergeCell ref="A138:C138"/>
    <mergeCell ref="A139:C139"/>
    <mergeCell ref="A128:C128"/>
    <mergeCell ref="A129:C129"/>
    <mergeCell ref="A144:C144"/>
    <mergeCell ref="A105:C105"/>
    <mergeCell ref="A134:C134"/>
    <mergeCell ref="A135:C135"/>
    <mergeCell ref="A136:C136"/>
    <mergeCell ref="A137:C137"/>
    <mergeCell ref="A132:C132"/>
    <mergeCell ref="A133:C133"/>
    <mergeCell ref="A140:C140"/>
    <mergeCell ref="A141:C141"/>
  </mergeCells>
  <conditionalFormatting sqref="I82">
    <cfRule type="expression" priority="71" dxfId="9" stopIfTrue="1">
      <formula>IF(AND(Datenblatt!#REF!=TRUE,ISBLANK(I82)),TRUE,FALSE)</formula>
    </cfRule>
  </conditionalFormatting>
  <dataValidations count="3">
    <dataValidation type="list" allowBlank="1" showInputMessage="1" showErrorMessage="1" sqref="I88">
      <formula1>"0,05,0,10,0,15,0,20"</formula1>
    </dataValidation>
    <dataValidation type="list" allowBlank="1" showInputMessage="1" showErrorMessage="1" sqref="I90">
      <formula1>"0,0,0,1,0,2,0,25,0,3"</formula1>
    </dataValidation>
    <dataValidation type="list" allowBlank="1" showInputMessage="1" showErrorMessage="1" sqref="I82">
      <formula1>"0,0,05,0,10,0,15"</formula1>
    </dataValidation>
  </dataValidations>
  <printOptions/>
  <pageMargins left="0.3937007874015748" right="0.3937007874015748" top="0.3937007874015748" bottom="0.1968503937007874" header="0.11811023622047245" footer="0.11811023622047245"/>
  <pageSetup horizontalDpi="600" verticalDpi="600" orientation="portrait" paperSize="9" r:id="rId1"/>
  <ignoredErrors>
    <ignoredError sqref="D10:D11 G18 C39 F39 I39 C35:C36 F35:F36 H35:H36 G158:I160 G163:I163 H162:I162 H164:I164 G164 G174:I174 G170:I172 E167:E240 E11 L47:N49 P46 P53 N60:N64 N66:N67 L51:N56 L50" unlockedFormula="1"/>
    <ignoredError sqref="D167:D168 D176:D192 D229:D241" numberStoredAsText="1"/>
    <ignoredError sqref="N65" formula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W506"/>
  <sheetViews>
    <sheetView showGridLines="0" zoomScalePageLayoutView="0" workbookViewId="0" topLeftCell="A106">
      <selection activeCell="G132" sqref="G132:H132"/>
    </sheetView>
  </sheetViews>
  <sheetFormatPr defaultColWidth="11.421875" defaultRowHeight="12.75"/>
  <cols>
    <col min="1" max="1" width="0.85546875" style="1" customWidth="1"/>
    <col min="2" max="4" width="11.421875" style="1" customWidth="1"/>
    <col min="5" max="5" width="10.00390625" style="1" customWidth="1"/>
    <col min="6" max="6" width="0.5625" style="1" customWidth="1"/>
    <col min="7" max="7" width="12.421875" style="1" customWidth="1"/>
    <col min="8" max="8" width="11.421875" style="1" customWidth="1"/>
    <col min="9" max="9" width="0.5625" style="1" customWidth="1"/>
    <col min="10" max="12" width="11.421875" style="1" customWidth="1"/>
    <col min="13" max="13" width="10.57421875" style="1" customWidth="1"/>
    <col min="14" max="17" width="11.421875" style="1" customWidth="1"/>
    <col min="18" max="18" width="25.140625" style="1" bestFit="1" customWidth="1"/>
    <col min="19" max="19" width="23.140625" style="1" bestFit="1" customWidth="1"/>
    <col min="20" max="20" width="25.140625" style="1" bestFit="1" customWidth="1"/>
    <col min="21" max="21" width="29.421875" style="1" bestFit="1" customWidth="1"/>
    <col min="22" max="22" width="26.8515625" style="1" bestFit="1" customWidth="1"/>
    <col min="23" max="23" width="24.57421875" style="1" bestFit="1" customWidth="1"/>
    <col min="24" max="16384" width="11.421875" style="1" customWidth="1"/>
  </cols>
  <sheetData>
    <row r="1" spans="1:11" ht="8.25" customHeight="1">
      <c r="A1" s="362"/>
      <c r="B1" s="362"/>
      <c r="C1" s="362"/>
      <c r="D1" s="362"/>
      <c r="E1" s="362"/>
      <c r="F1" s="362"/>
      <c r="G1" s="362"/>
      <c r="H1" s="362"/>
      <c r="I1" s="217"/>
      <c r="J1" s="362"/>
      <c r="K1" s="362"/>
    </row>
    <row r="2" spans="1:12" ht="20.25">
      <c r="A2" s="362"/>
      <c r="B2" s="477" t="s">
        <v>106</v>
      </c>
      <c r="C2" s="478"/>
      <c r="D2" s="478"/>
      <c r="E2" s="478"/>
      <c r="F2" s="478"/>
      <c r="G2" s="478"/>
      <c r="H2" s="45"/>
      <c r="I2" s="45"/>
      <c r="J2" s="363"/>
      <c r="K2" s="362"/>
      <c r="L2" s="8"/>
    </row>
    <row r="3" spans="1:12" ht="18">
      <c r="A3" s="362"/>
      <c r="B3" s="366" t="s">
        <v>105</v>
      </c>
      <c r="C3" s="367"/>
      <c r="D3" s="367"/>
      <c r="E3" s="367"/>
      <c r="F3" s="367"/>
      <c r="G3" s="367"/>
      <c r="H3" s="46"/>
      <c r="I3" s="46"/>
      <c r="J3" s="363"/>
      <c r="K3" s="362"/>
      <c r="L3" s="8"/>
    </row>
    <row r="4" spans="1:12" ht="12.75">
      <c r="A4" s="362"/>
      <c r="B4" s="367"/>
      <c r="C4" s="367"/>
      <c r="D4" s="367"/>
      <c r="E4" s="367"/>
      <c r="F4" s="367"/>
      <c r="G4" s="367"/>
      <c r="H4" s="217"/>
      <c r="I4" s="217"/>
      <c r="J4" s="363"/>
      <c r="K4" s="362"/>
      <c r="L4" s="8"/>
    </row>
    <row r="5" spans="1:12" ht="12.75" customHeight="1">
      <c r="A5" s="362"/>
      <c r="B5" s="24"/>
      <c r="C5" s="24"/>
      <c r="D5" s="24"/>
      <c r="E5" s="24"/>
      <c r="F5" s="24"/>
      <c r="G5" s="24"/>
      <c r="H5" s="24"/>
      <c r="I5" s="24"/>
      <c r="J5" s="363"/>
      <c r="K5" s="362"/>
      <c r="L5" s="8"/>
    </row>
    <row r="6" spans="1:12" ht="12.75">
      <c r="A6" s="368"/>
      <c r="B6" s="368"/>
      <c r="C6" s="368"/>
      <c r="D6" s="368"/>
      <c r="E6" s="368"/>
      <c r="F6" s="368"/>
      <c r="G6" s="368"/>
      <c r="H6" s="368"/>
      <c r="I6" s="368"/>
      <c r="J6" s="344"/>
      <c r="K6" s="344"/>
      <c r="L6" s="8"/>
    </row>
    <row r="7" spans="1:12" ht="12.75">
      <c r="A7" s="2"/>
      <c r="B7" s="369" t="s">
        <v>2</v>
      </c>
      <c r="C7" s="370"/>
      <c r="D7" s="370"/>
      <c r="E7" s="338"/>
      <c r="F7" s="207"/>
      <c r="G7" s="25" t="s">
        <v>3</v>
      </c>
      <c r="H7" s="479"/>
      <c r="I7" s="480"/>
      <c r="J7" s="480"/>
      <c r="K7" s="480"/>
      <c r="L7" s="8"/>
    </row>
    <row r="8" spans="1:12" ht="4.5" customHeight="1">
      <c r="A8" s="2"/>
      <c r="B8" s="338"/>
      <c r="C8" s="338"/>
      <c r="D8" s="338"/>
      <c r="E8" s="338"/>
      <c r="F8" s="207"/>
      <c r="G8" s="25"/>
      <c r="H8" s="479"/>
      <c r="I8" s="480"/>
      <c r="J8" s="480"/>
      <c r="K8" s="480"/>
      <c r="L8" s="8"/>
    </row>
    <row r="9" spans="1:13" ht="12.75">
      <c r="A9" s="2"/>
      <c r="B9" s="25" t="s">
        <v>6</v>
      </c>
      <c r="C9" s="338" t="s">
        <v>7</v>
      </c>
      <c r="D9" s="338"/>
      <c r="E9" s="338"/>
      <c r="F9" s="207"/>
      <c r="G9" s="25" t="s">
        <v>5</v>
      </c>
      <c r="H9" s="481"/>
      <c r="I9" s="482"/>
      <c r="J9" s="482"/>
      <c r="K9" s="482"/>
      <c r="L9" s="8"/>
      <c r="M9"/>
    </row>
    <row r="10" spans="1:12" ht="4.5" customHeight="1">
      <c r="A10" s="2"/>
      <c r="B10" s="25"/>
      <c r="C10" s="25"/>
      <c r="D10" s="25"/>
      <c r="E10" s="338"/>
      <c r="F10" s="207"/>
      <c r="G10" s="25"/>
      <c r="H10" s="375"/>
      <c r="I10" s="375"/>
      <c r="J10" s="375"/>
      <c r="K10" s="375"/>
      <c r="L10" s="8"/>
    </row>
    <row r="11" spans="1:12" ht="12.75">
      <c r="A11" s="2"/>
      <c r="B11" s="25" t="s">
        <v>0</v>
      </c>
      <c r="C11" s="25" t="s">
        <v>8</v>
      </c>
      <c r="D11" s="25"/>
      <c r="E11" s="338"/>
      <c r="F11" s="207"/>
      <c r="G11" s="25" t="s">
        <v>4</v>
      </c>
      <c r="H11" s="352"/>
      <c r="I11" s="353"/>
      <c r="J11" s="376"/>
      <c r="K11" s="376"/>
      <c r="L11" s="8"/>
    </row>
    <row r="12" spans="1:12" ht="4.5" customHeight="1">
      <c r="A12" s="2"/>
      <c r="B12" s="25"/>
      <c r="C12" s="25"/>
      <c r="D12" s="25"/>
      <c r="E12" s="338"/>
      <c r="F12" s="207"/>
      <c r="G12" s="25"/>
      <c r="H12" s="351"/>
      <c r="I12" s="351"/>
      <c r="J12" s="351"/>
      <c r="K12" s="351"/>
      <c r="L12" s="8"/>
    </row>
    <row r="13" spans="1:12" ht="12.75">
      <c r="A13" s="2"/>
      <c r="B13" s="25" t="s">
        <v>1</v>
      </c>
      <c r="C13" s="371" t="s">
        <v>87</v>
      </c>
      <c r="D13" s="372"/>
      <c r="E13" s="372"/>
      <c r="F13" s="216"/>
      <c r="G13" s="25" t="s">
        <v>26</v>
      </c>
      <c r="H13" s="483">
        <f ca="1">TODAY()</f>
        <v>44585</v>
      </c>
      <c r="I13" s="484"/>
      <c r="J13" s="484"/>
      <c r="K13" s="484"/>
      <c r="L13" s="8"/>
    </row>
    <row r="14" spans="1:12" ht="4.5" customHeight="1">
      <c r="A14" s="2"/>
      <c r="B14" s="25" t="s">
        <v>5</v>
      </c>
      <c r="C14" s="25" t="s">
        <v>5</v>
      </c>
      <c r="D14" s="25"/>
      <c r="E14" s="25"/>
      <c r="F14" s="25"/>
      <c r="G14" s="25" t="s">
        <v>5</v>
      </c>
      <c r="H14" s="351"/>
      <c r="I14" s="351"/>
      <c r="J14" s="351"/>
      <c r="K14" s="351"/>
      <c r="L14" s="8"/>
    </row>
    <row r="15" spans="1:12" ht="1.5" customHeight="1">
      <c r="A15" s="2"/>
      <c r="B15" s="21"/>
      <c r="C15" s="21"/>
      <c r="D15" s="21"/>
      <c r="E15" s="21"/>
      <c r="F15" s="21"/>
      <c r="G15" s="21"/>
      <c r="H15" s="4"/>
      <c r="I15" s="21"/>
      <c r="J15" s="4"/>
      <c r="K15" s="4"/>
      <c r="L15" s="8"/>
    </row>
    <row r="16" spans="1:12" ht="12.75">
      <c r="A16" s="343"/>
      <c r="B16" s="344"/>
      <c r="C16" s="344"/>
      <c r="D16" s="344"/>
      <c r="E16" s="344"/>
      <c r="F16" s="344"/>
      <c r="G16" s="344"/>
      <c r="H16" s="344"/>
      <c r="I16" s="344"/>
      <c r="J16" s="344"/>
      <c r="K16" s="344"/>
      <c r="L16" s="8"/>
    </row>
    <row r="17" spans="1:12" ht="12.75">
      <c r="A17" s="2"/>
      <c r="B17" s="349" t="s">
        <v>71</v>
      </c>
      <c r="C17" s="338"/>
      <c r="D17" s="338"/>
      <c r="E17" s="338"/>
      <c r="F17" s="207"/>
      <c r="G17" s="25" t="s">
        <v>9</v>
      </c>
      <c r="H17" s="25" t="s">
        <v>49</v>
      </c>
      <c r="I17" s="207"/>
      <c r="J17" s="25" t="s">
        <v>50</v>
      </c>
      <c r="K17" s="25"/>
      <c r="L17" s="8"/>
    </row>
    <row r="18" spans="1:12" ht="4.5" customHeight="1">
      <c r="A18" s="2"/>
      <c r="B18" s="350"/>
      <c r="C18" s="350"/>
      <c r="D18" s="350"/>
      <c r="E18" s="350"/>
      <c r="F18" s="350"/>
      <c r="G18" s="350"/>
      <c r="H18" s="350"/>
      <c r="I18" s="350"/>
      <c r="J18" s="350"/>
      <c r="K18" s="350"/>
      <c r="L18" s="8"/>
    </row>
    <row r="19" spans="1:12" ht="12.75">
      <c r="A19" s="2"/>
      <c r="B19" s="25" t="s">
        <v>10</v>
      </c>
      <c r="C19" s="406"/>
      <c r="D19" s="415"/>
      <c r="E19" s="415"/>
      <c r="F19" s="415"/>
      <c r="G19" s="415"/>
      <c r="H19" s="415"/>
      <c r="I19" s="415"/>
      <c r="J19" s="415"/>
      <c r="K19" s="415"/>
      <c r="L19" s="8"/>
    </row>
    <row r="20" spans="1:12" ht="4.5" customHeight="1">
      <c r="A20" s="2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8"/>
    </row>
    <row r="21" spans="1:12" ht="12.75">
      <c r="A21" s="2"/>
      <c r="B21" s="25" t="s">
        <v>11</v>
      </c>
      <c r="C21" s="406"/>
      <c r="D21" s="415"/>
      <c r="E21" s="415"/>
      <c r="F21" s="415"/>
      <c r="G21" s="415"/>
      <c r="H21" s="415"/>
      <c r="I21" s="415"/>
      <c r="J21" s="415"/>
      <c r="K21" s="415"/>
      <c r="L21" s="8"/>
    </row>
    <row r="22" spans="1:12" ht="4.5" customHeight="1">
      <c r="A22" s="2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8"/>
    </row>
    <row r="23" spans="1:12" ht="12.75">
      <c r="A23" s="2"/>
      <c r="B23" s="25" t="s">
        <v>12</v>
      </c>
      <c r="C23" s="377" t="s">
        <v>88</v>
      </c>
      <c r="D23" s="378"/>
      <c r="E23" s="377" t="s">
        <v>70</v>
      </c>
      <c r="F23" s="377"/>
      <c r="G23" s="378"/>
      <c r="H23" s="62" t="s">
        <v>69</v>
      </c>
      <c r="I23" s="62"/>
      <c r="J23" s="379"/>
      <c r="K23" s="380"/>
      <c r="L23" s="128" t="b">
        <v>1</v>
      </c>
    </row>
    <row r="24" spans="1:12" ht="4.5" customHeight="1">
      <c r="A24" s="2"/>
      <c r="B24" s="25"/>
      <c r="C24" s="25"/>
      <c r="D24" s="25"/>
      <c r="E24" s="25"/>
      <c r="F24" s="25"/>
      <c r="G24" s="25"/>
      <c r="H24" s="25"/>
      <c r="I24" s="25"/>
      <c r="J24" s="26"/>
      <c r="K24" s="26"/>
      <c r="L24" s="8"/>
    </row>
    <row r="25" spans="1:12" ht="12.75" customHeight="1">
      <c r="A25" s="2"/>
      <c r="B25" s="25" t="s">
        <v>47</v>
      </c>
      <c r="C25" s="338" t="s">
        <v>51</v>
      </c>
      <c r="D25" s="378"/>
      <c r="E25" s="338" t="s">
        <v>52</v>
      </c>
      <c r="F25" s="338"/>
      <c r="G25" s="338"/>
      <c r="H25" s="338"/>
      <c r="I25" s="207"/>
      <c r="J25" s="350"/>
      <c r="K25" s="485"/>
      <c r="L25" s="8"/>
    </row>
    <row r="26" spans="1:12" ht="4.5" customHeight="1">
      <c r="A26" s="2"/>
      <c r="B26" s="486" t="s">
        <v>48</v>
      </c>
      <c r="C26" s="27"/>
      <c r="D26" s="215"/>
      <c r="E26" s="214"/>
      <c r="F26" s="214"/>
      <c r="G26" s="214"/>
      <c r="H26" s="214"/>
      <c r="I26" s="214"/>
      <c r="J26" s="27"/>
      <c r="K26" s="215"/>
      <c r="L26" s="8"/>
    </row>
    <row r="27" spans="1:12" ht="12.75">
      <c r="A27" s="2"/>
      <c r="B27" s="340"/>
      <c r="C27" s="214" t="s">
        <v>53</v>
      </c>
      <c r="D27" s="215"/>
      <c r="E27" s="406"/>
      <c r="F27" s="415"/>
      <c r="G27" s="415"/>
      <c r="H27" s="415"/>
      <c r="I27" s="415"/>
      <c r="J27" s="415"/>
      <c r="K27" s="415"/>
      <c r="L27" s="128" t="b">
        <v>1</v>
      </c>
    </row>
    <row r="28" spans="1:12" ht="4.5" customHeight="1">
      <c r="A28" s="2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8"/>
    </row>
    <row r="29" spans="1:12" ht="1.5" customHeight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8"/>
    </row>
    <row r="30" spans="1:12" ht="12.75">
      <c r="A30" s="343"/>
      <c r="B30" s="344"/>
      <c r="C30" s="344"/>
      <c r="D30" s="344"/>
      <c r="E30" s="344"/>
      <c r="F30" s="344"/>
      <c r="G30" s="344"/>
      <c r="H30" s="344"/>
      <c r="I30" s="344"/>
      <c r="J30" s="344" t="b">
        <v>1</v>
      </c>
      <c r="K30" s="344"/>
      <c r="L30" s="8"/>
    </row>
    <row r="31" spans="1:12" ht="12.75">
      <c r="A31" s="2"/>
      <c r="B31" s="349" t="s">
        <v>72</v>
      </c>
      <c r="C31" s="349"/>
      <c r="D31" s="349"/>
      <c r="E31" s="349"/>
      <c r="F31" s="203"/>
      <c r="G31" s="25"/>
      <c r="H31" s="25"/>
      <c r="I31" s="203"/>
      <c r="J31" s="25"/>
      <c r="K31" s="25"/>
      <c r="L31" s="8"/>
    </row>
    <row r="32" spans="1:12" ht="4.5" customHeight="1">
      <c r="A32" s="2"/>
      <c r="B32" s="26"/>
      <c r="C32" s="26"/>
      <c r="D32" s="26"/>
      <c r="E32" s="26"/>
      <c r="F32" s="26"/>
      <c r="G32" s="26"/>
      <c r="H32" s="26"/>
      <c r="I32" s="26"/>
      <c r="J32" s="43" t="b">
        <v>1</v>
      </c>
      <c r="K32" s="26"/>
      <c r="L32" s="8"/>
    </row>
    <row r="33" spans="1:12" ht="12.75">
      <c r="A33" s="2"/>
      <c r="B33" s="25" t="s">
        <v>13</v>
      </c>
      <c r="C33" s="89">
        <v>43952</v>
      </c>
      <c r="D33" s="26" t="s">
        <v>15</v>
      </c>
      <c r="E33" s="26" t="s">
        <v>14</v>
      </c>
      <c r="F33" s="26"/>
      <c r="G33" s="89">
        <v>45047</v>
      </c>
      <c r="H33" s="26" t="s">
        <v>16</v>
      </c>
      <c r="I33" s="26"/>
      <c r="J33" s="26"/>
      <c r="K33" s="26"/>
      <c r="L33" s="8"/>
    </row>
    <row r="34" spans="1:12" ht="4.5" customHeight="1">
      <c r="A34" s="2"/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8"/>
    </row>
    <row r="35" spans="1:12" ht="13.5">
      <c r="A35" s="2"/>
      <c r="B35" s="25" t="s">
        <v>17</v>
      </c>
      <c r="C35" s="487" t="s">
        <v>293</v>
      </c>
      <c r="D35" s="488"/>
      <c r="E35" s="72" t="s">
        <v>124</v>
      </c>
      <c r="F35" s="207"/>
      <c r="G35" s="113">
        <f>IF(C35="monatlich*","* nur im Lastschriftverfahren möglich!","")</f>
      </c>
      <c r="H35" s="113"/>
      <c r="I35" s="113"/>
      <c r="J35" s="113"/>
      <c r="K35" s="113"/>
      <c r="L35" s="8"/>
    </row>
    <row r="36" spans="1:12" ht="4.5" customHeight="1">
      <c r="A36" s="2"/>
      <c r="B36" s="25"/>
      <c r="C36" s="212"/>
      <c r="D36" s="212"/>
      <c r="E36" s="112"/>
      <c r="F36" s="26"/>
      <c r="G36" s="26"/>
      <c r="H36" s="26"/>
      <c r="I36" s="26"/>
      <c r="J36" s="26"/>
      <c r="K36" s="26"/>
      <c r="L36" s="8"/>
    </row>
    <row r="37" spans="1:12" ht="13.5">
      <c r="A37" s="2"/>
      <c r="B37" s="25" t="s">
        <v>18</v>
      </c>
      <c r="C37" s="487" t="s">
        <v>291</v>
      </c>
      <c r="D37" s="488"/>
      <c r="E37" s="72" t="s">
        <v>124</v>
      </c>
      <c r="F37" s="207"/>
      <c r="G37" s="25"/>
      <c r="H37" s="113"/>
      <c r="I37" s="113"/>
      <c r="J37" s="113"/>
      <c r="K37" s="113"/>
      <c r="L37" s="8"/>
    </row>
    <row r="38" spans="1:12" ht="4.5" customHeight="1">
      <c r="A38" s="2"/>
      <c r="B38" s="25"/>
      <c r="C38" s="26"/>
      <c r="D38" s="26"/>
      <c r="E38" s="26"/>
      <c r="F38" s="26"/>
      <c r="G38" s="26" t="s">
        <v>5</v>
      </c>
      <c r="H38" s="26"/>
      <c r="I38" s="26"/>
      <c r="J38" s="26"/>
      <c r="K38" s="26"/>
      <c r="L38" s="8"/>
    </row>
    <row r="39" spans="1:12" ht="12.75">
      <c r="A39" s="2"/>
      <c r="B39" s="82" t="s">
        <v>176</v>
      </c>
      <c r="C39" s="119"/>
      <c r="D39" s="119"/>
      <c r="E39" s="119"/>
      <c r="F39" s="114"/>
      <c r="G39" s="119"/>
      <c r="H39" s="119"/>
      <c r="I39" s="114"/>
      <c r="J39" s="119"/>
      <c r="K39" s="113"/>
      <c r="L39" s="8"/>
    </row>
    <row r="40" spans="1:12" ht="4.5" customHeight="1">
      <c r="A40" s="2"/>
      <c r="B40" s="25"/>
      <c r="C40" s="25"/>
      <c r="D40" s="25"/>
      <c r="E40" s="25"/>
      <c r="F40" s="25"/>
      <c r="G40" s="25"/>
      <c r="H40" s="26"/>
      <c r="I40" s="25"/>
      <c r="J40" s="26"/>
      <c r="K40" s="26"/>
      <c r="L40" s="8"/>
    </row>
    <row r="41" spans="1:12" ht="12.75">
      <c r="A41" s="2"/>
      <c r="B41" s="25" t="s">
        <v>177</v>
      </c>
      <c r="C41" s="386"/>
      <c r="D41" s="387"/>
      <c r="E41" s="387"/>
      <c r="F41" s="387"/>
      <c r="G41" s="387"/>
      <c r="H41" s="387"/>
      <c r="I41" s="387"/>
      <c r="J41" s="387"/>
      <c r="K41" s="113"/>
      <c r="L41" s="8"/>
    </row>
    <row r="42" spans="1:12" ht="4.5" customHeight="1">
      <c r="A42" s="2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8"/>
    </row>
    <row r="43" spans="1:12" ht="1.5" customHeight="1">
      <c r="A43" s="2"/>
      <c r="B43" s="4"/>
      <c r="C43" s="4"/>
      <c r="D43" s="4"/>
      <c r="E43" s="4"/>
      <c r="F43" s="4"/>
      <c r="G43" s="4"/>
      <c r="H43" s="4"/>
      <c r="I43" s="4"/>
      <c r="J43" s="4"/>
      <c r="K43" s="4"/>
      <c r="L43" s="8"/>
    </row>
    <row r="44" spans="1:12" ht="12.75">
      <c r="A44" s="343"/>
      <c r="B44" s="344"/>
      <c r="C44" s="344"/>
      <c r="D44" s="344"/>
      <c r="E44" s="344"/>
      <c r="F44" s="344"/>
      <c r="G44" s="344"/>
      <c r="H44" s="344"/>
      <c r="I44" s="344"/>
      <c r="J44" s="344"/>
      <c r="K44" s="344"/>
      <c r="L44" s="8"/>
    </row>
    <row r="45" spans="1:12" ht="12.75">
      <c r="A45" s="2"/>
      <c r="B45" s="349" t="s">
        <v>73</v>
      </c>
      <c r="C45" s="349"/>
      <c r="D45" s="349"/>
      <c r="E45" s="26"/>
      <c r="F45" s="26"/>
      <c r="G45" s="26"/>
      <c r="H45" s="26"/>
      <c r="I45" s="26"/>
      <c r="J45" s="26"/>
      <c r="K45" s="26"/>
      <c r="L45" s="8"/>
    </row>
    <row r="46" spans="1:12" ht="4.5" customHeight="1">
      <c r="A46" s="2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8"/>
    </row>
    <row r="47" spans="1:12" ht="12.75">
      <c r="A47" s="2"/>
      <c r="B47" s="25" t="s">
        <v>21</v>
      </c>
      <c r="C47" s="25"/>
      <c r="D47" s="123" t="s">
        <v>290</v>
      </c>
      <c r="E47" s="25"/>
      <c r="F47" s="25"/>
      <c r="G47" s="25" t="s">
        <v>19</v>
      </c>
      <c r="H47" s="384"/>
      <c r="I47" s="385"/>
      <c r="J47" s="385"/>
      <c r="K47" s="385"/>
      <c r="L47" s="8"/>
    </row>
    <row r="48" spans="1:12" ht="4.5" customHeight="1">
      <c r="A48" s="2"/>
      <c r="B48" s="25"/>
      <c r="C48" s="25"/>
      <c r="D48" s="25"/>
      <c r="E48" s="25"/>
      <c r="F48" s="25"/>
      <c r="G48" s="25"/>
      <c r="H48" s="26"/>
      <c r="I48" s="25"/>
      <c r="J48" s="26"/>
      <c r="K48" s="26"/>
      <c r="L48" s="8"/>
    </row>
    <row r="49" spans="1:12" ht="12.75">
      <c r="A49" s="2"/>
      <c r="B49" s="25"/>
      <c r="C49" s="25"/>
      <c r="D49" s="25"/>
      <c r="E49" s="207" t="s">
        <v>5</v>
      </c>
      <c r="F49" s="207"/>
      <c r="G49" s="28" t="s">
        <v>20</v>
      </c>
      <c r="H49" s="384"/>
      <c r="I49" s="385"/>
      <c r="J49" s="385"/>
      <c r="K49" s="385"/>
      <c r="L49" s="8"/>
    </row>
    <row r="50" spans="1:12" ht="4.5" customHeight="1">
      <c r="A50" s="2"/>
      <c r="B50" s="25"/>
      <c r="C50" s="25"/>
      <c r="D50" s="25"/>
      <c r="E50" s="25"/>
      <c r="F50" s="25"/>
      <c r="G50" s="25"/>
      <c r="H50" s="26"/>
      <c r="I50" s="25"/>
      <c r="J50" s="26"/>
      <c r="K50" s="26"/>
      <c r="L50" s="8"/>
    </row>
    <row r="51" spans="1:13" ht="13.5">
      <c r="A51" s="2"/>
      <c r="B51" s="207" t="s">
        <v>22</v>
      </c>
      <c r="C51" s="25"/>
      <c r="D51" s="226" t="s">
        <v>114</v>
      </c>
      <c r="E51" s="227"/>
      <c r="F51" s="207"/>
      <c r="G51" s="207"/>
      <c r="H51" s="25"/>
      <c r="I51" s="207"/>
      <c r="J51" s="338"/>
      <c r="K51" s="338"/>
      <c r="L51" s="8"/>
      <c r="M51" s="225"/>
    </row>
    <row r="52" spans="1:12" ht="4.5" customHeight="1">
      <c r="A52" s="2"/>
      <c r="B52" s="25"/>
      <c r="C52" s="25"/>
      <c r="D52" s="25"/>
      <c r="E52" s="207"/>
      <c r="F52" s="207"/>
      <c r="G52" s="207"/>
      <c r="H52" s="31"/>
      <c r="I52" s="207"/>
      <c r="J52" s="27"/>
      <c r="K52" s="214"/>
      <c r="L52" s="8"/>
    </row>
    <row r="53" spans="1:12" ht="12.75">
      <c r="A53" s="2"/>
      <c r="B53" s="338" t="s">
        <v>45</v>
      </c>
      <c r="C53" s="338"/>
      <c r="D53" s="123" t="s">
        <v>290</v>
      </c>
      <c r="E53" s="207"/>
      <c r="F53" s="207"/>
      <c r="G53" s="207" t="s">
        <v>23</v>
      </c>
      <c r="H53" s="125"/>
      <c r="I53" s="207"/>
      <c r="J53" s="32" t="s">
        <v>24</v>
      </c>
      <c r="K53" s="96"/>
      <c r="L53" s="8"/>
    </row>
    <row r="54" spans="1:12" ht="4.5" customHeight="1">
      <c r="A54" s="2"/>
      <c r="B54" s="339" t="s">
        <v>46</v>
      </c>
      <c r="C54" s="340"/>
      <c r="D54" s="29"/>
      <c r="E54" s="30"/>
      <c r="F54" s="30"/>
      <c r="G54" s="207"/>
      <c r="H54" s="31"/>
      <c r="I54" s="30"/>
      <c r="J54" s="32"/>
      <c r="K54" s="214"/>
      <c r="L54" s="8"/>
    </row>
    <row r="55" spans="1:12" ht="13.5">
      <c r="A55" s="2"/>
      <c r="B55" s="340"/>
      <c r="C55" s="340"/>
      <c r="D55" s="25"/>
      <c r="E55" s="25"/>
      <c r="F55" s="25"/>
      <c r="G55" s="25" t="s">
        <v>25</v>
      </c>
      <c r="H55" s="130"/>
      <c r="I55" s="25"/>
      <c r="J55" s="25" t="s">
        <v>26</v>
      </c>
      <c r="K55" s="126"/>
      <c r="L55" s="8"/>
    </row>
    <row r="56" spans="1:12" ht="4.5" customHeight="1">
      <c r="A56" s="2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8"/>
    </row>
    <row r="57" spans="1:12" ht="1.5" customHeight="1">
      <c r="A57" s="2"/>
      <c r="B57" s="4"/>
      <c r="C57" s="4"/>
      <c r="D57" s="4"/>
      <c r="E57" s="4"/>
      <c r="F57" s="4"/>
      <c r="G57" s="4"/>
      <c r="H57" s="4"/>
      <c r="I57" s="4"/>
      <c r="J57" s="4"/>
      <c r="K57" s="4"/>
      <c r="L57" s="8"/>
    </row>
    <row r="58" spans="1:12" ht="12.75">
      <c r="A58" s="138"/>
      <c r="B58" s="137"/>
      <c r="C58" s="137"/>
      <c r="D58" s="137"/>
      <c r="E58" s="137"/>
      <c r="F58" s="137"/>
      <c r="G58" s="137"/>
      <c r="H58" s="357">
        <f>IF(OR(AND(D51="Versicherer",D47="ja"),AND(D53="ja",OR(H53&gt;1,K53&gt;999))),"Direktionsanfrage !","")</f>
      </c>
      <c r="I58" s="357"/>
      <c r="J58" s="357"/>
      <c r="K58" s="357"/>
      <c r="L58" s="8"/>
    </row>
    <row r="59" spans="1:12" ht="13.5">
      <c r="A59" s="2"/>
      <c r="B59" s="349" t="s">
        <v>74</v>
      </c>
      <c r="C59" s="349"/>
      <c r="D59" s="349"/>
      <c r="E59" s="25"/>
      <c r="F59" s="25"/>
      <c r="G59" s="25"/>
      <c r="H59" s="25"/>
      <c r="I59" s="25"/>
      <c r="J59" s="127" t="s">
        <v>124</v>
      </c>
      <c r="K59" s="25"/>
      <c r="L59" s="8"/>
    </row>
    <row r="60" spans="1:12" ht="4.5" customHeight="1">
      <c r="A60" s="2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8"/>
    </row>
    <row r="61" spans="1:12" ht="12.75">
      <c r="A61" s="2"/>
      <c r="B61" s="361" t="s">
        <v>203</v>
      </c>
      <c r="C61" s="338"/>
      <c r="D61" s="338"/>
      <c r="E61" s="338"/>
      <c r="F61" s="338"/>
      <c r="G61" s="338"/>
      <c r="H61" s="338"/>
      <c r="I61" s="207"/>
      <c r="J61" s="123" t="s">
        <v>113</v>
      </c>
      <c r="K61" s="25"/>
      <c r="L61" s="8"/>
    </row>
    <row r="62" spans="1:12" ht="4.5" customHeight="1">
      <c r="A62" s="2"/>
      <c r="B62" s="207"/>
      <c r="C62" s="207"/>
      <c r="D62" s="207"/>
      <c r="E62" s="207"/>
      <c r="F62" s="207"/>
      <c r="G62" s="207"/>
      <c r="H62" s="207"/>
      <c r="I62" s="207"/>
      <c r="J62" s="29"/>
      <c r="K62" s="29"/>
      <c r="L62" s="8"/>
    </row>
    <row r="63" spans="1:12" ht="12.75">
      <c r="A63" s="2"/>
      <c r="B63" s="361" t="s">
        <v>201</v>
      </c>
      <c r="C63" s="338"/>
      <c r="D63" s="338"/>
      <c r="E63" s="338"/>
      <c r="F63" s="338"/>
      <c r="G63" s="338"/>
      <c r="H63" s="338"/>
      <c r="I63" s="207"/>
      <c r="J63" s="123" t="s">
        <v>290</v>
      </c>
      <c r="K63" s="25"/>
      <c r="L63" s="8"/>
    </row>
    <row r="64" spans="1:12" ht="4.5" customHeight="1">
      <c r="A64" s="2"/>
      <c r="B64" s="207"/>
      <c r="C64" s="207"/>
      <c r="D64" s="207"/>
      <c r="E64" s="207"/>
      <c r="F64" s="207"/>
      <c r="G64" s="207"/>
      <c r="H64" s="207"/>
      <c r="I64" s="207"/>
      <c r="J64" s="29"/>
      <c r="K64" s="29"/>
      <c r="L64" s="8"/>
    </row>
    <row r="65" spans="1:12" ht="12.75">
      <c r="A65" s="2"/>
      <c r="B65" s="361" t="s">
        <v>191</v>
      </c>
      <c r="C65" s="361"/>
      <c r="D65" s="361"/>
      <c r="E65" s="361"/>
      <c r="F65" s="361"/>
      <c r="G65" s="361"/>
      <c r="H65" s="361"/>
      <c r="I65" s="207"/>
      <c r="J65" s="123" t="s">
        <v>113</v>
      </c>
      <c r="K65" s="25"/>
      <c r="L65" s="8"/>
    </row>
    <row r="66" spans="1:12" ht="4.5" customHeight="1">
      <c r="A66" s="2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8"/>
    </row>
    <row r="67" spans="1:12" ht="1.5" customHeight="1">
      <c r="A67" s="2"/>
      <c r="B67" s="4"/>
      <c r="C67" s="4"/>
      <c r="D67" s="4"/>
      <c r="E67" s="4"/>
      <c r="F67" s="4"/>
      <c r="G67" s="4"/>
      <c r="H67" s="4"/>
      <c r="I67" s="4"/>
      <c r="J67" s="4"/>
      <c r="K67" s="4"/>
      <c r="L67" s="8"/>
    </row>
    <row r="68" spans="1:19" ht="12.75" customHeight="1">
      <c r="A68" s="138"/>
      <c r="B68" s="137"/>
      <c r="C68" s="137"/>
      <c r="D68" s="137"/>
      <c r="E68" s="137"/>
      <c r="F68" s="137"/>
      <c r="G68" s="137"/>
      <c r="H68" s="357" t="str">
        <f>IF(OR(J61="nein",J63="nein",J65="nein"),"Direktionsanfrage !","")</f>
        <v>Direktionsanfrage !</v>
      </c>
      <c r="I68" s="357"/>
      <c r="J68" s="357"/>
      <c r="K68" s="357"/>
      <c r="L68" s="8"/>
      <c r="R68" s="115"/>
      <c r="S68" s="115"/>
    </row>
    <row r="69" spans="1:19" ht="12.75">
      <c r="A69" s="2"/>
      <c r="B69" s="388" t="s">
        <v>75</v>
      </c>
      <c r="C69" s="388"/>
      <c r="D69" s="388"/>
      <c r="E69" s="26"/>
      <c r="F69" s="26"/>
      <c r="G69" s="26"/>
      <c r="H69" s="26"/>
      <c r="I69" s="26"/>
      <c r="J69" s="26"/>
      <c r="K69" s="26"/>
      <c r="L69" s="8"/>
      <c r="R69" s="115"/>
      <c r="S69" s="115"/>
    </row>
    <row r="70" spans="1:19" ht="13.5">
      <c r="A70" s="2"/>
      <c r="B70" s="72" t="s">
        <v>183</v>
      </c>
      <c r="C70" s="207"/>
      <c r="D70" s="360" t="s">
        <v>178</v>
      </c>
      <c r="E70" s="360"/>
      <c r="F70" s="206"/>
      <c r="G70" s="360" t="s">
        <v>179</v>
      </c>
      <c r="H70" s="360"/>
      <c r="I70" s="206"/>
      <c r="J70" s="360" t="s">
        <v>180</v>
      </c>
      <c r="K70" s="360"/>
      <c r="L70" s="8"/>
      <c r="R70" s="115"/>
      <c r="S70" s="115"/>
    </row>
    <row r="71" spans="1:19" ht="4.5" customHeight="1">
      <c r="A71" s="2"/>
      <c r="B71" s="26"/>
      <c r="C71" s="26"/>
      <c r="D71" s="26"/>
      <c r="E71" s="26"/>
      <c r="F71" s="206"/>
      <c r="G71" s="26"/>
      <c r="H71" s="26"/>
      <c r="I71" s="206"/>
      <c r="J71" s="26"/>
      <c r="K71" s="26"/>
      <c r="L71" s="8"/>
      <c r="R71" s="115"/>
      <c r="S71" s="115"/>
    </row>
    <row r="72" spans="1:19" ht="12.75">
      <c r="A72" s="2"/>
      <c r="B72" s="392" t="s">
        <v>110</v>
      </c>
      <c r="C72" s="392"/>
      <c r="D72" s="447" t="s">
        <v>129</v>
      </c>
      <c r="E72" s="448"/>
      <c r="F72" s="69"/>
      <c r="G72" s="447" t="s">
        <v>137</v>
      </c>
      <c r="H72" s="448"/>
      <c r="I72" s="69"/>
      <c r="J72" s="447" t="s">
        <v>129</v>
      </c>
      <c r="K72" s="448"/>
      <c r="L72" s="8"/>
      <c r="R72" s="115"/>
      <c r="S72" s="115"/>
    </row>
    <row r="73" spans="1:19" ht="4.5" customHeight="1">
      <c r="A73" s="2"/>
      <c r="B73" s="110"/>
      <c r="C73" s="111"/>
      <c r="D73" s="70"/>
      <c r="E73" s="70"/>
      <c r="F73" s="69"/>
      <c r="G73" s="70"/>
      <c r="H73" s="70"/>
      <c r="I73" s="69"/>
      <c r="J73" s="70"/>
      <c r="K73" s="70"/>
      <c r="L73" s="8"/>
      <c r="R73" s="115"/>
      <c r="S73" s="115"/>
    </row>
    <row r="74" spans="1:19" ht="13.5">
      <c r="A74" s="2"/>
      <c r="B74" s="392" t="s">
        <v>55</v>
      </c>
      <c r="C74" s="392"/>
      <c r="D74" s="443" t="s">
        <v>138</v>
      </c>
      <c r="E74" s="444"/>
      <c r="F74" s="72"/>
      <c r="G74" s="443" t="s">
        <v>149</v>
      </c>
      <c r="H74" s="444"/>
      <c r="I74" s="72"/>
      <c r="J74" s="443" t="s">
        <v>238</v>
      </c>
      <c r="K74" s="444"/>
      <c r="L74" s="8"/>
      <c r="R74" s="115"/>
      <c r="S74" s="115"/>
    </row>
    <row r="75" spans="1:19" ht="13.5">
      <c r="A75" s="2"/>
      <c r="B75" s="202"/>
      <c r="C75" s="202"/>
      <c r="D75" s="356" t="str">
        <f>IF(AND(D72&lt;&gt;"Bitte wählen",D74&lt;&gt;"",D471=FALSE),D473,"")</f>
        <v>Maschine passt nicht zur Gruppe !</v>
      </c>
      <c r="E75" s="356"/>
      <c r="F75" s="72"/>
      <c r="G75" s="356" t="str">
        <f>IF(AND(G72&lt;&gt;"Bitte wählen",G74&lt;&gt;"",E471=FALSE),D473,"")</f>
        <v>Maschine passt nicht zur Gruppe !</v>
      </c>
      <c r="H75" s="356"/>
      <c r="I75" s="72"/>
      <c r="J75" s="356" t="str">
        <f>IF(AND(J72&lt;&gt;"Bitte wählen",J74&lt;&gt;"",G471=FALSE),D473,"")</f>
        <v>Maschine passt nicht zur Gruppe !</v>
      </c>
      <c r="K75" s="356"/>
      <c r="L75" s="8"/>
      <c r="R75" s="115"/>
      <c r="S75" s="115"/>
    </row>
    <row r="76" spans="1:19" ht="4.5" customHeight="1">
      <c r="A76" s="2"/>
      <c r="B76" s="110"/>
      <c r="C76" s="111"/>
      <c r="D76" s="70"/>
      <c r="E76" s="70"/>
      <c r="F76" s="69"/>
      <c r="G76" s="70"/>
      <c r="H76" s="70"/>
      <c r="I76" s="69"/>
      <c r="J76" s="70"/>
      <c r="K76" s="70"/>
      <c r="L76" s="8"/>
      <c r="R76" s="115"/>
      <c r="S76" s="115"/>
    </row>
    <row r="77" spans="1:19" ht="13.5">
      <c r="A77" s="2"/>
      <c r="B77" s="392" t="s">
        <v>30</v>
      </c>
      <c r="C77" s="392"/>
      <c r="D77" s="445"/>
      <c r="E77" s="446"/>
      <c r="F77" s="69"/>
      <c r="G77" s="445"/>
      <c r="H77" s="446"/>
      <c r="I77" s="69"/>
      <c r="J77" s="445"/>
      <c r="K77" s="446"/>
      <c r="L77" s="8"/>
      <c r="R77" s="115"/>
      <c r="S77" s="115"/>
    </row>
    <row r="78" spans="1:19" ht="4.5" customHeight="1">
      <c r="A78" s="2"/>
      <c r="B78" s="110"/>
      <c r="C78" s="111"/>
      <c r="D78" s="70"/>
      <c r="E78" s="70"/>
      <c r="F78" s="69"/>
      <c r="G78" s="70"/>
      <c r="H78" s="70"/>
      <c r="I78" s="69"/>
      <c r="J78" s="70"/>
      <c r="K78" s="70"/>
      <c r="L78" s="8"/>
      <c r="R78" s="115"/>
      <c r="S78" s="115"/>
    </row>
    <row r="79" spans="1:19" ht="13.5">
      <c r="A79" s="2"/>
      <c r="B79" s="392" t="s">
        <v>28</v>
      </c>
      <c r="C79" s="392" t="s">
        <v>5</v>
      </c>
      <c r="D79" s="445"/>
      <c r="E79" s="446"/>
      <c r="F79" s="69"/>
      <c r="G79" s="445"/>
      <c r="H79" s="446"/>
      <c r="I79" s="69"/>
      <c r="J79" s="445"/>
      <c r="K79" s="446"/>
      <c r="L79" s="8"/>
      <c r="R79" s="115"/>
      <c r="S79" s="115"/>
    </row>
    <row r="80" spans="1:19" ht="4.5" customHeight="1">
      <c r="A80" s="2"/>
      <c r="B80" s="110"/>
      <c r="C80" s="111"/>
      <c r="D80" s="26"/>
      <c r="E80" s="26"/>
      <c r="F80" s="206"/>
      <c r="G80" s="26"/>
      <c r="H80" s="26"/>
      <c r="I80" s="206"/>
      <c r="J80" s="26"/>
      <c r="K80" s="26"/>
      <c r="L80" s="8"/>
      <c r="R80" s="115"/>
      <c r="S80" s="115"/>
    </row>
    <row r="81" spans="1:19" ht="13.5">
      <c r="A81" s="2"/>
      <c r="B81" s="392" t="s">
        <v>27</v>
      </c>
      <c r="C81" s="392"/>
      <c r="D81" s="489">
        <v>2000</v>
      </c>
      <c r="E81" s="490"/>
      <c r="F81" s="71"/>
      <c r="G81" s="489">
        <v>2000</v>
      </c>
      <c r="H81" s="490"/>
      <c r="I81" s="71"/>
      <c r="J81" s="489">
        <v>2000</v>
      </c>
      <c r="K81" s="490"/>
      <c r="L81" s="8"/>
      <c r="R81" s="115"/>
      <c r="S81" s="115"/>
    </row>
    <row r="82" spans="1:19" ht="4.5" customHeight="1">
      <c r="A82" s="2"/>
      <c r="B82" s="110"/>
      <c r="C82" s="111"/>
      <c r="D82" s="26"/>
      <c r="E82" s="26"/>
      <c r="F82" s="206"/>
      <c r="G82" s="26"/>
      <c r="H82" s="26"/>
      <c r="I82" s="206"/>
      <c r="J82" s="26"/>
      <c r="K82" s="26"/>
      <c r="L82" s="8"/>
      <c r="R82" s="115"/>
      <c r="S82" s="115"/>
    </row>
    <row r="83" spans="1:19" ht="12.75">
      <c r="A83" s="2"/>
      <c r="B83" s="392" t="s">
        <v>111</v>
      </c>
      <c r="C83" s="392" t="s">
        <v>5</v>
      </c>
      <c r="D83" s="393">
        <v>30000</v>
      </c>
      <c r="E83" s="394"/>
      <c r="F83" s="218"/>
      <c r="G83" s="393">
        <v>120000</v>
      </c>
      <c r="H83" s="394"/>
      <c r="I83" s="218"/>
      <c r="J83" s="393"/>
      <c r="K83" s="394"/>
      <c r="L83" s="8"/>
      <c r="R83" s="115"/>
      <c r="S83" s="115"/>
    </row>
    <row r="84" spans="1:19" ht="4.5" customHeight="1">
      <c r="A84" s="2"/>
      <c r="B84" s="420"/>
      <c r="C84" s="420"/>
      <c r="D84" s="396" t="str">
        <f>IF(VLOOKUP(C94,Datenblatt!$F$169:$I$173,2,FALSE)=1,"Direktionsanfrage !","")</f>
        <v>Direktionsanfrage !</v>
      </c>
      <c r="E84" s="396"/>
      <c r="F84" s="140"/>
      <c r="G84" s="396" t="str">
        <f>IF(VLOOKUP(C100,Datenblatt!$F$169:$I$173,3,FALSE)=1,"Direktionsanfrage !","")</f>
        <v>Direktionsanfrage !</v>
      </c>
      <c r="H84" s="396"/>
      <c r="I84" s="140"/>
      <c r="J84" s="396" t="str">
        <f>IF(VLOOKUP(C106,Datenblatt!$F$169:$I$173,4,FALSE)=1,"Direktionsanfrage !","")</f>
        <v>Direktionsanfrage !</v>
      </c>
      <c r="K84" s="396"/>
      <c r="L84" s="8"/>
      <c r="R84" s="115"/>
      <c r="S84" s="115"/>
    </row>
    <row r="85" spans="1:19" ht="9" customHeight="1">
      <c r="A85" s="2"/>
      <c r="B85" s="420"/>
      <c r="C85" s="420"/>
      <c r="D85" s="396"/>
      <c r="E85" s="396"/>
      <c r="F85" s="140"/>
      <c r="G85" s="396"/>
      <c r="H85" s="396"/>
      <c r="I85" s="140"/>
      <c r="J85" s="396"/>
      <c r="K85" s="396"/>
      <c r="L85" s="8"/>
      <c r="R85" s="115"/>
      <c r="S85" s="115"/>
    </row>
    <row r="86" spans="1:19" ht="15.75" thickBot="1">
      <c r="A86" s="2"/>
      <c r="B86" s="391" t="s">
        <v>112</v>
      </c>
      <c r="C86" s="391"/>
      <c r="D86" s="123" t="s">
        <v>113</v>
      </c>
      <c r="E86" s="395" t="s">
        <v>31</v>
      </c>
      <c r="F86" s="395"/>
      <c r="G86" s="395"/>
      <c r="H86" s="395"/>
      <c r="I86" s="68"/>
      <c r="J86" s="436">
        <f>SUM(D83:J83)</f>
        <v>150000</v>
      </c>
      <c r="K86" s="437"/>
      <c r="L86" s="8"/>
      <c r="R86" s="115"/>
      <c r="S86" s="115"/>
    </row>
    <row r="87" spans="1:12" ht="4.5" customHeight="1" thickTop="1">
      <c r="A87" s="2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8"/>
    </row>
    <row r="88" spans="1:12" ht="1.5" customHeight="1">
      <c r="A88" s="2"/>
      <c r="B88" s="4"/>
      <c r="C88" s="4"/>
      <c r="D88" s="4"/>
      <c r="E88" s="4"/>
      <c r="F88" s="4"/>
      <c r="G88" s="4"/>
      <c r="H88" s="4"/>
      <c r="I88" s="4"/>
      <c r="J88" s="4"/>
      <c r="K88" s="4"/>
      <c r="L88" s="8"/>
    </row>
    <row r="89" spans="1:12" ht="24.75" customHeight="1" thickBot="1">
      <c r="A89" s="343"/>
      <c r="B89" s="344"/>
      <c r="C89" s="344"/>
      <c r="D89" s="344"/>
      <c r="E89" s="344"/>
      <c r="F89" s="344"/>
      <c r="G89" s="344"/>
      <c r="H89" s="344"/>
      <c r="I89" s="344"/>
      <c r="J89" s="344"/>
      <c r="K89" s="344"/>
      <c r="L89" s="8"/>
    </row>
    <row r="90" spans="1:17" ht="19.5" customHeight="1" thickBot="1" thickTop="1">
      <c r="A90" s="2"/>
      <c r="B90" s="349" t="s">
        <v>76</v>
      </c>
      <c r="C90" s="349"/>
      <c r="D90" s="349"/>
      <c r="E90" s="423" t="s">
        <v>181</v>
      </c>
      <c r="F90" s="423"/>
      <c r="G90" s="491"/>
      <c r="H90" s="424" t="s">
        <v>182</v>
      </c>
      <c r="I90" s="492"/>
      <c r="J90" s="425"/>
      <c r="K90" s="35" t="e">
        <f>IF(#REF!&gt;1,"1 Auswahl !","")</f>
        <v>#REF!</v>
      </c>
      <c r="L90" s="8"/>
      <c r="M90" s="42"/>
      <c r="N90" s="18"/>
      <c r="O90" s="13"/>
      <c r="P90" s="13"/>
      <c r="Q90" s="13"/>
    </row>
    <row r="91" spans="1:17" ht="9" customHeight="1" thickTop="1">
      <c r="A91" s="2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8"/>
      <c r="N91" s="11"/>
      <c r="O91" s="11"/>
      <c r="P91" s="11"/>
      <c r="Q91" s="11"/>
    </row>
    <row r="92" spans="1:19" ht="12.75">
      <c r="A92" s="2"/>
      <c r="B92" s="26" t="s">
        <v>5</v>
      </c>
      <c r="C92" s="493" t="s">
        <v>184</v>
      </c>
      <c r="D92" s="494"/>
      <c r="E92" s="495"/>
      <c r="F92" s="207"/>
      <c r="G92" s="116" t="s">
        <v>59</v>
      </c>
      <c r="H92" s="116" t="s">
        <v>29</v>
      </c>
      <c r="I92" s="207"/>
      <c r="J92" s="116" t="s">
        <v>32</v>
      </c>
      <c r="K92" s="117" t="s">
        <v>58</v>
      </c>
      <c r="L92" s="8"/>
      <c r="M92" s="16"/>
      <c r="N92" s="208" t="s">
        <v>178</v>
      </c>
      <c r="O92" s="208"/>
      <c r="P92" s="208" t="s">
        <v>179</v>
      </c>
      <c r="Q92" s="208"/>
      <c r="R92" s="208" t="s">
        <v>180</v>
      </c>
      <c r="S92" s="208"/>
    </row>
    <row r="93" spans="1:17" ht="4.5" customHeight="1">
      <c r="A93" s="2"/>
      <c r="B93" s="26"/>
      <c r="C93" s="214"/>
      <c r="D93" s="214"/>
      <c r="E93" s="26"/>
      <c r="F93" s="26"/>
      <c r="G93" s="26"/>
      <c r="H93" s="26"/>
      <c r="I93" s="26"/>
      <c r="J93" s="26"/>
      <c r="K93" s="26"/>
      <c r="L93" s="8"/>
      <c r="N93" s="14"/>
      <c r="O93" s="11"/>
      <c r="P93" s="15"/>
      <c r="Q93" s="15"/>
    </row>
    <row r="94" spans="1:17" ht="12.75">
      <c r="A94" s="2"/>
      <c r="B94" s="34" t="s">
        <v>178</v>
      </c>
      <c r="C94" s="496" t="s">
        <v>108</v>
      </c>
      <c r="D94" s="497"/>
      <c r="E94" s="498"/>
      <c r="F94" s="207"/>
      <c r="G94" s="22">
        <f>IF(AND(D72&lt;&gt;"Bitte wählen",C94&lt;&gt;"Bitte wählen"),VLOOKUP(D72&amp;H90&amp;C94,Datenblatt!$A$106:$E$147,5,FALSE),"")</f>
        <v>2000</v>
      </c>
      <c r="H94" s="22">
        <f>D83</f>
        <v>30000</v>
      </c>
      <c r="I94" s="207"/>
      <c r="J94" s="23">
        <f>IF(AND(D72&lt;&gt;"Bitte wählen",C94&lt;&gt;"Bitte wählen"),VLOOKUP(D72&amp;H90&amp;C94,Datenblatt!A106:E147,4,FALSE),"")</f>
        <v>12.6</v>
      </c>
      <c r="K94" s="10">
        <f>IF(J94&lt;&gt;"",H94*J94/1000,"")</f>
        <v>378</v>
      </c>
      <c r="L94" s="8"/>
      <c r="M94" s="42" t="s">
        <v>294</v>
      </c>
      <c r="N94" s="14"/>
      <c r="O94" s="11"/>
      <c r="P94" s="15"/>
      <c r="Q94" s="15"/>
    </row>
    <row r="95" spans="1:17" ht="4.5" customHeight="1">
      <c r="A95" s="2"/>
      <c r="B95" s="25"/>
      <c r="C95" s="25"/>
      <c r="D95" s="25"/>
      <c r="E95" s="25"/>
      <c r="F95" s="25"/>
      <c r="G95" s="25"/>
      <c r="H95" s="25"/>
      <c r="I95" s="25"/>
      <c r="J95" s="25"/>
      <c r="K95" s="36"/>
      <c r="L95" s="8"/>
      <c r="M95" s="42"/>
      <c r="N95" s="14"/>
      <c r="O95" s="11"/>
      <c r="P95" s="15"/>
      <c r="Q95" s="15"/>
    </row>
    <row r="96" spans="1:17" ht="12.75">
      <c r="A96" s="2"/>
      <c r="B96" s="73" t="s">
        <v>115</v>
      </c>
      <c r="C96" s="74" t="str">
        <f>IF(ISBLANK(D74),"",VLOOKUP(D74,Datenblatt!C167:D240,2,FALSE))</f>
        <v>6301</v>
      </c>
      <c r="D96" s="207"/>
      <c r="E96" s="207"/>
      <c r="F96" s="207"/>
      <c r="G96" s="338" t="s">
        <v>89</v>
      </c>
      <c r="H96" s="344"/>
      <c r="I96" s="207"/>
      <c r="J96" s="41">
        <v>0.15</v>
      </c>
      <c r="K96" s="10">
        <f>IF(Datenblatt!G50=TRUE,K94*$J$96,0)</f>
        <v>0</v>
      </c>
      <c r="L96" s="8"/>
      <c r="M96" s="42" t="s">
        <v>295</v>
      </c>
      <c r="N96" s="14"/>
      <c r="O96" s="11"/>
      <c r="P96" s="15"/>
      <c r="Q96" s="15"/>
    </row>
    <row r="97" spans="1:17" ht="4.5" customHeight="1">
      <c r="A97" s="2"/>
      <c r="B97" s="25"/>
      <c r="C97" s="25"/>
      <c r="D97" s="25"/>
      <c r="E97" s="25"/>
      <c r="F97" s="25"/>
      <c r="G97" s="25"/>
      <c r="H97" s="25"/>
      <c r="I97" s="25"/>
      <c r="J97" s="25"/>
      <c r="K97" s="36"/>
      <c r="L97" s="8"/>
      <c r="N97" s="14"/>
      <c r="O97" s="11"/>
      <c r="P97" s="15"/>
      <c r="Q97" s="15"/>
    </row>
    <row r="98" spans="1:17" ht="12.75">
      <c r="A98" s="2"/>
      <c r="B98" s="25"/>
      <c r="C98" s="499"/>
      <c r="D98" s="499"/>
      <c r="E98" s="500"/>
      <c r="F98" s="211"/>
      <c r="G98" s="338" t="s">
        <v>90</v>
      </c>
      <c r="H98" s="344"/>
      <c r="I98" s="211"/>
      <c r="J98" s="41">
        <v>0.1</v>
      </c>
      <c r="K98" s="10">
        <f>IF(Datenblatt!G52=TRUE,(K94+K96)*$J$98,0)*-1</f>
        <v>0</v>
      </c>
      <c r="L98" s="8"/>
      <c r="M98" s="42" t="s">
        <v>61</v>
      </c>
      <c r="N98" s="14"/>
      <c r="O98" s="11"/>
      <c r="P98" s="15"/>
      <c r="Q98" s="15"/>
    </row>
    <row r="99" spans="1:17" ht="4.5" customHeight="1">
      <c r="A99" s="2"/>
      <c r="B99" s="25"/>
      <c r="C99" s="25"/>
      <c r="D99" s="25"/>
      <c r="E99" s="25"/>
      <c r="F99" s="25"/>
      <c r="G99" s="25"/>
      <c r="H99" s="25"/>
      <c r="I99" s="25"/>
      <c r="J99" s="25"/>
      <c r="K99" s="36"/>
      <c r="L99" s="8"/>
      <c r="N99" s="14"/>
      <c r="O99" s="11"/>
      <c r="P99" s="15"/>
      <c r="Q99" s="15"/>
    </row>
    <row r="100" spans="1:17" ht="12.75">
      <c r="A100" s="2"/>
      <c r="B100" s="34" t="s">
        <v>179</v>
      </c>
      <c r="C100" s="496" t="s">
        <v>108</v>
      </c>
      <c r="D100" s="497"/>
      <c r="E100" s="498"/>
      <c r="F100" s="207"/>
      <c r="G100" s="22">
        <f>IF(AND(G72&lt;&gt;"Bitte wählen",C100&lt;&gt;"Bitte wählen"),VLOOKUP(G72&amp;H90&amp;C100,Datenblatt!$A$106:$E$147,5,FALSE),"")</f>
        <v>1000</v>
      </c>
      <c r="H100" s="22">
        <f>G83</f>
        <v>120000</v>
      </c>
      <c r="I100" s="207"/>
      <c r="J100" s="23">
        <f>IF(AND(G72&lt;&gt;"Bitte wählen",C100&lt;&gt;"Bitte wählen"),VLOOKUP(G72&amp;H90&amp;C100,Datenblatt!A106:E147,4,FALSE),"")</f>
        <v>12</v>
      </c>
      <c r="K100" s="10">
        <f>IF(J100&lt;&gt;"",H100*J100/1000,"")</f>
        <v>1440</v>
      </c>
      <c r="L100" s="8"/>
      <c r="M100" s="42" t="s">
        <v>123</v>
      </c>
      <c r="N100" s="196"/>
      <c r="O100" s="11"/>
      <c r="P100" s="15"/>
      <c r="Q100" s="15"/>
    </row>
    <row r="101" spans="1:17" ht="4.5" customHeight="1">
      <c r="A101" s="2"/>
      <c r="B101" s="25"/>
      <c r="C101" s="25"/>
      <c r="D101" s="25"/>
      <c r="E101" s="25"/>
      <c r="F101" s="25"/>
      <c r="G101" s="25"/>
      <c r="H101" s="25"/>
      <c r="I101" s="25"/>
      <c r="J101" s="25"/>
      <c r="K101" s="36"/>
      <c r="L101" s="8"/>
      <c r="N101" s="14"/>
      <c r="O101" s="11"/>
      <c r="P101" s="15"/>
      <c r="Q101" s="15"/>
    </row>
    <row r="102" spans="1:17" ht="12.75">
      <c r="A102" s="2"/>
      <c r="B102" s="73" t="s">
        <v>115</v>
      </c>
      <c r="C102" s="74" t="str">
        <f>IF(ISBLANK(G74),"",VLOOKUP(G74,Datenblatt!C167:D240,2,FALSE))</f>
        <v>6319</v>
      </c>
      <c r="D102" s="207"/>
      <c r="E102" s="207"/>
      <c r="F102" s="207"/>
      <c r="G102" s="338" t="s">
        <v>89</v>
      </c>
      <c r="H102" s="344"/>
      <c r="I102" s="207"/>
      <c r="J102" s="41">
        <v>0.15</v>
      </c>
      <c r="K102" s="10">
        <f>IF(Datenblatt!G56=TRUE,K100*$J$102,0)</f>
        <v>0</v>
      </c>
      <c r="L102" s="8"/>
      <c r="M102" s="42" t="s">
        <v>296</v>
      </c>
      <c r="N102" s="14"/>
      <c r="O102" s="11"/>
      <c r="P102" s="15"/>
      <c r="Q102" s="15"/>
    </row>
    <row r="103" spans="1:17" ht="4.5" customHeight="1">
      <c r="A103" s="2"/>
      <c r="B103" s="25"/>
      <c r="C103" s="30"/>
      <c r="D103" s="207"/>
      <c r="E103" s="25"/>
      <c r="F103" s="25"/>
      <c r="G103" s="25"/>
      <c r="H103" s="25"/>
      <c r="I103" s="25"/>
      <c r="J103" s="25"/>
      <c r="K103" s="36"/>
      <c r="L103" s="8"/>
      <c r="N103" s="14"/>
      <c r="O103" s="11"/>
      <c r="P103" s="15"/>
      <c r="Q103" s="15"/>
    </row>
    <row r="104" spans="1:17" ht="12.75">
      <c r="A104" s="2"/>
      <c r="B104" s="25"/>
      <c r="C104" s="499"/>
      <c r="D104" s="499"/>
      <c r="E104" s="500"/>
      <c r="F104" s="211"/>
      <c r="G104" s="338" t="s">
        <v>90</v>
      </c>
      <c r="H104" s="344"/>
      <c r="I104" s="211"/>
      <c r="J104" s="41">
        <v>0.1</v>
      </c>
      <c r="K104" s="10">
        <f>IF(Datenblatt!G58=TRUE,(K100+K102)*$J$104,0)*-1</f>
        <v>0</v>
      </c>
      <c r="L104" s="8"/>
      <c r="M104" s="42" t="s">
        <v>297</v>
      </c>
      <c r="N104" s="16"/>
      <c r="O104" s="11"/>
      <c r="P104" s="15"/>
      <c r="Q104" s="15"/>
    </row>
    <row r="105" spans="1:17" ht="4.5" customHeight="1">
      <c r="A105" s="2"/>
      <c r="B105" s="25"/>
      <c r="C105" s="30"/>
      <c r="D105" s="207"/>
      <c r="E105" s="25"/>
      <c r="F105" s="25"/>
      <c r="G105" s="30"/>
      <c r="H105" s="206"/>
      <c r="I105" s="25"/>
      <c r="J105" s="62"/>
      <c r="K105" s="37"/>
      <c r="L105" s="8"/>
      <c r="N105" s="16"/>
      <c r="O105" s="11"/>
      <c r="P105" s="15"/>
      <c r="Q105" s="15"/>
    </row>
    <row r="106" spans="1:17" ht="12.75">
      <c r="A106" s="2"/>
      <c r="B106" s="34" t="s">
        <v>180</v>
      </c>
      <c r="C106" s="501" t="s">
        <v>108</v>
      </c>
      <c r="D106" s="497"/>
      <c r="E106" s="498"/>
      <c r="F106" s="207"/>
      <c r="G106" s="22">
        <f>IF(AND(J72&lt;&gt;"Bitte wählen",C106&lt;&gt;"Bitte wählen"),VLOOKUP(J72&amp;H90&amp;C106,Datenblatt!$A$106:$E$147,5,FALSE),"")</f>
        <v>2000</v>
      </c>
      <c r="H106" s="22">
        <f>J83</f>
        <v>0</v>
      </c>
      <c r="I106" s="207"/>
      <c r="J106" s="23">
        <f>IF(AND(J72&lt;&gt;"Bitte wählen",C106&lt;&gt;"Bitte wählen"),VLOOKUP(J72&amp;H90&amp;C106,Datenblatt!$A$106:$E$147,4,FALSE),"")</f>
        <v>12.6</v>
      </c>
      <c r="K106" s="10">
        <f>IF(J106&lt;&gt;"",H106*J106/1000,"")</f>
        <v>0</v>
      </c>
      <c r="L106" s="8"/>
      <c r="M106" s="42" t="s">
        <v>298</v>
      </c>
      <c r="N106" s="16"/>
      <c r="O106" s="11"/>
      <c r="P106" s="15"/>
      <c r="Q106" s="15"/>
    </row>
    <row r="107" spans="1:17" ht="4.5" customHeight="1">
      <c r="A107" s="2"/>
      <c r="B107" s="25"/>
      <c r="C107" s="30"/>
      <c r="D107" s="207"/>
      <c r="E107" s="25"/>
      <c r="F107" s="25"/>
      <c r="G107" s="30"/>
      <c r="H107" s="206"/>
      <c r="I107" s="25"/>
      <c r="J107" s="62"/>
      <c r="K107" s="37"/>
      <c r="L107" s="8"/>
      <c r="N107" s="16"/>
      <c r="O107" s="11"/>
      <c r="P107" s="15"/>
      <c r="Q107" s="15"/>
    </row>
    <row r="108" spans="1:17" ht="12.75">
      <c r="A108" s="2"/>
      <c r="B108" s="73" t="s">
        <v>115</v>
      </c>
      <c r="C108" s="74" t="str">
        <f>IF(ISBLANK(J74),"",VLOOKUP(J74,Datenblatt!C167:D240,2,FALSE))</f>
        <v>6319</v>
      </c>
      <c r="D108" s="207"/>
      <c r="E108" s="207"/>
      <c r="F108" s="207"/>
      <c r="G108" s="338" t="s">
        <v>89</v>
      </c>
      <c r="H108" s="344"/>
      <c r="I108" s="207"/>
      <c r="J108" s="41">
        <v>0.15</v>
      </c>
      <c r="K108" s="10">
        <f>IF(Datenblatt!G62=TRUE,K106*$J$108,0)</f>
        <v>0</v>
      </c>
      <c r="L108" s="8"/>
      <c r="M108" s="42" t="s">
        <v>299</v>
      </c>
      <c r="N108" s="16"/>
      <c r="O108" s="11"/>
      <c r="P108" s="15"/>
      <c r="Q108" s="15"/>
    </row>
    <row r="109" spans="1:17" ht="4.5" customHeight="1">
      <c r="A109" s="2"/>
      <c r="B109" s="25"/>
      <c r="C109" s="30"/>
      <c r="D109" s="207"/>
      <c r="E109" s="25"/>
      <c r="F109" s="25"/>
      <c r="G109" s="30"/>
      <c r="H109" s="206"/>
      <c r="I109" s="25"/>
      <c r="J109" s="62"/>
      <c r="K109" s="37"/>
      <c r="L109" s="8"/>
      <c r="N109" s="14"/>
      <c r="O109" s="11"/>
      <c r="P109" s="15"/>
      <c r="Q109" s="15"/>
    </row>
    <row r="110" spans="1:17" ht="12.75">
      <c r="A110" s="2"/>
      <c r="B110" s="25"/>
      <c r="C110" s="499"/>
      <c r="D110" s="499"/>
      <c r="E110" s="500"/>
      <c r="F110" s="211"/>
      <c r="G110" s="338" t="s">
        <v>90</v>
      </c>
      <c r="H110" s="344"/>
      <c r="I110" s="211"/>
      <c r="J110" s="41">
        <v>0.1</v>
      </c>
      <c r="K110" s="10">
        <f>IF(Datenblatt!G64=TRUE,(K106+K108)*$J$110,0)*-1</f>
        <v>0</v>
      </c>
      <c r="L110" s="8"/>
      <c r="M110" s="42" t="s">
        <v>300</v>
      </c>
      <c r="N110" s="16"/>
      <c r="O110" s="11"/>
      <c r="P110" s="15"/>
      <c r="Q110" s="15"/>
    </row>
    <row r="111" spans="1:17" ht="4.5" customHeight="1">
      <c r="A111" s="2"/>
      <c r="B111" s="25" t="s">
        <v>5</v>
      </c>
      <c r="C111" s="30"/>
      <c r="D111" s="207"/>
      <c r="E111" s="25"/>
      <c r="F111" s="25"/>
      <c r="G111" s="30"/>
      <c r="H111" s="206"/>
      <c r="I111" s="25"/>
      <c r="J111" s="62"/>
      <c r="K111" s="37"/>
      <c r="L111" s="8"/>
      <c r="N111" s="11"/>
      <c r="O111" s="11"/>
      <c r="P111" s="11"/>
      <c r="Q111" s="11"/>
    </row>
    <row r="112" spans="1:17" ht="13.5" thickBot="1">
      <c r="A112" s="2"/>
      <c r="B112" s="25"/>
      <c r="C112" s="30"/>
      <c r="D112" s="207"/>
      <c r="E112" s="25"/>
      <c r="F112" s="25"/>
      <c r="G112" s="411" t="s">
        <v>65</v>
      </c>
      <c r="H112" s="412"/>
      <c r="I112" s="412"/>
      <c r="J112" s="502"/>
      <c r="K112" s="198">
        <f>MAX(Datenblatt!G107,ROUND(SUM(K94:K110),1))</f>
        <v>1818</v>
      </c>
      <c r="L112" s="8"/>
      <c r="M112" s="42" t="s">
        <v>301</v>
      </c>
      <c r="N112" s="16"/>
      <c r="O112" s="11"/>
      <c r="P112" s="11"/>
      <c r="Q112" s="11"/>
    </row>
    <row r="113" spans="1:17" ht="4.5" customHeight="1" thickTop="1">
      <c r="A113" s="2"/>
      <c r="B113" s="25"/>
      <c r="C113" s="30"/>
      <c r="D113" s="207"/>
      <c r="E113" s="25"/>
      <c r="F113" s="25"/>
      <c r="G113" s="30"/>
      <c r="H113" s="206"/>
      <c r="I113" s="25"/>
      <c r="J113" s="62"/>
      <c r="K113" s="37"/>
      <c r="L113" s="8"/>
      <c r="N113" s="11"/>
      <c r="O113" s="11"/>
      <c r="P113" s="11"/>
      <c r="Q113" s="11"/>
    </row>
    <row r="114" spans="1:17" ht="12.75">
      <c r="A114" s="2"/>
      <c r="B114" s="25"/>
      <c r="C114" s="503" t="s">
        <v>33</v>
      </c>
      <c r="D114" s="504"/>
      <c r="E114" s="504"/>
      <c r="F114" s="210"/>
      <c r="G114" s="338" t="s">
        <v>103</v>
      </c>
      <c r="H114" s="344"/>
      <c r="I114" s="38"/>
      <c r="J114" s="41">
        <v>0.15</v>
      </c>
      <c r="K114" s="10">
        <f>IF(Datenblatt!G68=TRUE,K112*$J$114,0)</f>
        <v>0</v>
      </c>
      <c r="L114" s="8"/>
      <c r="N114" s="16"/>
      <c r="O114" s="11"/>
      <c r="P114" s="11"/>
      <c r="Q114" s="11"/>
    </row>
    <row r="115" spans="1:17" ht="6.75" customHeight="1">
      <c r="A115" s="2"/>
      <c r="B115" s="25"/>
      <c r="C115" s="205"/>
      <c r="D115" s="38"/>
      <c r="E115" s="38"/>
      <c r="F115" s="38"/>
      <c r="G115" s="32"/>
      <c r="H115" s="206"/>
      <c r="I115" s="38"/>
      <c r="J115" s="206"/>
      <c r="K115" s="37"/>
      <c r="L115" s="8"/>
      <c r="N115" s="11"/>
      <c r="O115" s="11"/>
      <c r="P115" s="11"/>
      <c r="Q115" s="11"/>
    </row>
    <row r="116" spans="1:17" ht="12.75">
      <c r="A116" s="2"/>
      <c r="B116" s="25"/>
      <c r="C116" s="205"/>
      <c r="D116" s="38"/>
      <c r="E116" s="38"/>
      <c r="F116" s="38"/>
      <c r="G116" s="338" t="s">
        <v>91</v>
      </c>
      <c r="H116" s="344"/>
      <c r="I116" s="38"/>
      <c r="J116" s="41">
        <f>IF(Datenblatt!G4=FALSE,0,0.15)</f>
        <v>0.15</v>
      </c>
      <c r="K116" s="10">
        <f>IF(Datenblatt!G70=TRUE,(K112+K114)*$J$116,0)</f>
        <v>0</v>
      </c>
      <c r="L116" s="8"/>
      <c r="M116" s="42"/>
      <c r="N116" s="16"/>
      <c r="O116" s="11"/>
      <c r="P116" s="11"/>
      <c r="Q116" s="11"/>
    </row>
    <row r="117" spans="1:17" ht="4.5" customHeight="1">
      <c r="A117" s="2"/>
      <c r="B117" s="25"/>
      <c r="C117" s="30"/>
      <c r="D117" s="207"/>
      <c r="E117" s="25"/>
      <c r="F117" s="25"/>
      <c r="G117" s="30"/>
      <c r="H117" s="206"/>
      <c r="I117" s="25"/>
      <c r="J117" s="62"/>
      <c r="K117" s="37"/>
      <c r="L117" s="8"/>
      <c r="N117" s="11"/>
      <c r="O117" s="11"/>
      <c r="P117" s="11"/>
      <c r="Q117" s="11"/>
    </row>
    <row r="118" spans="1:17" ht="12.75">
      <c r="A118" s="2"/>
      <c r="B118" s="25"/>
      <c r="C118" s="30"/>
      <c r="D118" s="207"/>
      <c r="E118" s="25"/>
      <c r="F118" s="25"/>
      <c r="G118" s="505" t="s">
        <v>92</v>
      </c>
      <c r="H118" s="506"/>
      <c r="I118" s="25"/>
      <c r="J118" s="41">
        <v>0.1</v>
      </c>
      <c r="K118" s="10">
        <f>IF(Datenblatt!G72=TRUE,(K94+K100+K106)*$J$118,0)</f>
        <v>0</v>
      </c>
      <c r="L118" s="8"/>
      <c r="N118" s="16"/>
      <c r="O118" s="11"/>
      <c r="P118" s="11"/>
      <c r="Q118" s="11"/>
    </row>
    <row r="119" spans="1:17" ht="4.5" customHeight="1">
      <c r="A119" s="2"/>
      <c r="B119" s="25"/>
      <c r="C119" s="30"/>
      <c r="D119" s="207"/>
      <c r="E119" s="25"/>
      <c r="F119" s="25"/>
      <c r="G119" s="219"/>
      <c r="H119" s="220"/>
      <c r="I119" s="25"/>
      <c r="J119" s="62"/>
      <c r="K119" s="37"/>
      <c r="L119" s="8"/>
      <c r="N119" s="11"/>
      <c r="O119" s="11"/>
      <c r="P119" s="11"/>
      <c r="Q119" s="11"/>
    </row>
    <row r="120" spans="1:17" ht="12.75">
      <c r="A120" s="2"/>
      <c r="B120" s="25"/>
      <c r="C120" s="30"/>
      <c r="D120" s="207"/>
      <c r="E120" s="25"/>
      <c r="F120" s="25"/>
      <c r="G120" s="505" t="s">
        <v>104</v>
      </c>
      <c r="H120" s="506"/>
      <c r="I120" s="25"/>
      <c r="J120" s="41">
        <v>0.15</v>
      </c>
      <c r="K120" s="10">
        <f>IF(Datenblatt!G74=TRUE,(K94+K100+K106)*$J$120,0)</f>
        <v>0</v>
      </c>
      <c r="L120" s="8"/>
      <c r="N120" s="16"/>
      <c r="O120" s="11"/>
      <c r="P120" s="11"/>
      <c r="Q120" s="11"/>
    </row>
    <row r="121" spans="1:17" ht="4.5" customHeight="1">
      <c r="A121" s="2"/>
      <c r="B121" s="25"/>
      <c r="C121" s="30"/>
      <c r="D121" s="207"/>
      <c r="E121" s="25"/>
      <c r="F121" s="25"/>
      <c r="G121" s="219"/>
      <c r="H121" s="220"/>
      <c r="I121" s="25"/>
      <c r="J121" s="62"/>
      <c r="K121" s="37"/>
      <c r="L121" s="8"/>
      <c r="N121" s="11"/>
      <c r="O121" s="11"/>
      <c r="P121" s="11"/>
      <c r="Q121" s="11"/>
    </row>
    <row r="122" spans="1:17" ht="12.75">
      <c r="A122" s="2"/>
      <c r="B122" s="25"/>
      <c r="C122" s="474"/>
      <c r="D122" s="475"/>
      <c r="E122" s="475"/>
      <c r="F122" s="210"/>
      <c r="G122" s="505" t="s">
        <v>95</v>
      </c>
      <c r="H122" s="506"/>
      <c r="I122" s="210"/>
      <c r="J122" s="41">
        <v>0.15</v>
      </c>
      <c r="K122" s="10">
        <f>IF(Datenblatt!G76=TRUE,(K112+K114+K116+K118+K120)*$J$122,0)</f>
        <v>0</v>
      </c>
      <c r="L122" s="8"/>
      <c r="N122" s="11"/>
      <c r="O122" s="11"/>
      <c r="P122" s="11"/>
      <c r="Q122" s="11"/>
    </row>
    <row r="123" spans="1:12" ht="4.5" customHeight="1">
      <c r="A123" s="2"/>
      <c r="B123" s="25"/>
      <c r="C123" s="30"/>
      <c r="D123" s="207"/>
      <c r="E123" s="25"/>
      <c r="F123" s="25"/>
      <c r="G123" s="30"/>
      <c r="H123" s="207"/>
      <c r="I123" s="25"/>
      <c r="J123" s="207"/>
      <c r="K123" s="37"/>
      <c r="L123" s="8"/>
    </row>
    <row r="124" spans="1:17" ht="12.75">
      <c r="A124" s="2"/>
      <c r="B124" s="25"/>
      <c r="C124" s="209"/>
      <c r="D124" s="507" t="s">
        <v>116</v>
      </c>
      <c r="E124" s="507"/>
      <c r="F124" s="210"/>
      <c r="G124" s="508" t="s">
        <v>286</v>
      </c>
      <c r="H124" s="509"/>
      <c r="I124" s="210"/>
      <c r="J124" s="79">
        <v>0.1</v>
      </c>
      <c r="K124" s="10">
        <f>IF(Datenblatt!G78=TRUE,(K112+K114+K116+K118+K120+K122)*$J$124,0)</f>
        <v>0</v>
      </c>
      <c r="L124" s="8"/>
      <c r="N124" s="11"/>
      <c r="O124" s="11"/>
      <c r="P124" s="11"/>
      <c r="Q124" s="11"/>
    </row>
    <row r="125" spans="1:12" ht="4.5" customHeight="1">
      <c r="A125" s="2"/>
      <c r="B125" s="25"/>
      <c r="C125" s="30"/>
      <c r="D125" s="207"/>
      <c r="E125" s="25"/>
      <c r="F125" s="25"/>
      <c r="G125" s="30"/>
      <c r="H125" s="207"/>
      <c r="I125" s="25"/>
      <c r="J125" s="207"/>
      <c r="K125" s="37"/>
      <c r="L125" s="8"/>
    </row>
    <row r="126" spans="1:12" ht="12.75">
      <c r="A126" s="2"/>
      <c r="B126" s="25"/>
      <c r="C126" s="510" t="s">
        <v>34</v>
      </c>
      <c r="D126" s="511"/>
      <c r="E126" s="511"/>
      <c r="F126" s="210"/>
      <c r="G126" s="338" t="s">
        <v>93</v>
      </c>
      <c r="H126" s="344"/>
      <c r="I126" s="38"/>
      <c r="J126" s="199">
        <f>IF(Datenblatt!D10=3,0.05,0)</f>
        <v>0</v>
      </c>
      <c r="K126" s="10">
        <f>(K112+K114+K116+K118+K120+K122+K124)*$J$126*-1</f>
        <v>0</v>
      </c>
      <c r="L126" s="8"/>
    </row>
    <row r="127" spans="1:12" ht="4.5" customHeight="1">
      <c r="A127" s="2"/>
      <c r="B127" s="25"/>
      <c r="C127" s="30"/>
      <c r="D127" s="207"/>
      <c r="E127" s="25"/>
      <c r="F127" s="25"/>
      <c r="G127" s="30"/>
      <c r="H127" s="207"/>
      <c r="I127" s="25"/>
      <c r="J127" s="207"/>
      <c r="K127" s="37"/>
      <c r="L127" s="8"/>
    </row>
    <row r="128" spans="1:12" ht="12.75">
      <c r="A128" s="2"/>
      <c r="B128" s="25"/>
      <c r="C128" s="30"/>
      <c r="D128" s="207"/>
      <c r="E128" s="25"/>
      <c r="F128" s="25"/>
      <c r="G128" s="338" t="s">
        <v>98</v>
      </c>
      <c r="H128" s="344"/>
      <c r="I128" s="25"/>
      <c r="J128" s="44">
        <v>0.05</v>
      </c>
      <c r="K128" s="10">
        <f>IF(Datenblatt!G82=TRUE,(K112+K114+K116+K118+K120+K122+K124+K126)*$J$128,0)*-1</f>
        <v>0</v>
      </c>
      <c r="L128" s="8"/>
    </row>
    <row r="129" spans="1:12" ht="4.5" customHeight="1">
      <c r="A129" s="2"/>
      <c r="B129" s="25"/>
      <c r="C129" s="30"/>
      <c r="D129" s="207"/>
      <c r="E129" s="25"/>
      <c r="F129" s="25"/>
      <c r="G129" s="32"/>
      <c r="H129" s="206"/>
      <c r="I129" s="25"/>
      <c r="J129" s="206"/>
      <c r="K129" s="37"/>
      <c r="L129" s="8"/>
    </row>
    <row r="130" spans="1:12" ht="12.75">
      <c r="A130" s="2"/>
      <c r="B130" s="25"/>
      <c r="C130" s="30"/>
      <c r="D130" s="207"/>
      <c r="E130" s="25"/>
      <c r="F130" s="25"/>
      <c r="G130" s="505" t="s">
        <v>94</v>
      </c>
      <c r="H130" s="506"/>
      <c r="I130" s="25"/>
      <c r="J130" s="41">
        <v>0.1</v>
      </c>
      <c r="K130" s="10">
        <f>IF(Datenblatt!G84=TRUE,(K112+K114+K116+K118+K120+K122+K124+K126+K128)*$J$130,0)*-1</f>
        <v>0</v>
      </c>
      <c r="L130" s="8"/>
    </row>
    <row r="131" spans="1:12" ht="4.5" customHeight="1">
      <c r="A131" s="2"/>
      <c r="B131" s="25"/>
      <c r="C131" s="30"/>
      <c r="D131" s="207"/>
      <c r="E131" s="25"/>
      <c r="F131" s="25"/>
      <c r="G131" s="30"/>
      <c r="H131" s="207"/>
      <c r="I131" s="25"/>
      <c r="J131" s="207"/>
      <c r="K131" s="37"/>
      <c r="L131" s="8"/>
    </row>
    <row r="132" spans="1:12" ht="12.75" customHeight="1">
      <c r="A132" s="2"/>
      <c r="B132" s="25"/>
      <c r="C132" s="30"/>
      <c r="D132" s="207"/>
      <c r="E132" s="25"/>
      <c r="F132" s="25"/>
      <c r="G132" s="505" t="s">
        <v>96</v>
      </c>
      <c r="H132" s="506"/>
      <c r="I132" s="25"/>
      <c r="J132" s="41">
        <v>0.1</v>
      </c>
      <c r="K132" s="10">
        <f>IF(Datenblatt!G86=TRUE,(K112+K114+K116+K118+K120+K122+K124+K126+K128+K130)*$J$132,0)*-1</f>
        <v>0</v>
      </c>
      <c r="L132" s="8"/>
    </row>
    <row r="133" spans="1:12" ht="4.5" customHeight="1">
      <c r="A133" s="2"/>
      <c r="B133" s="25"/>
      <c r="C133" s="30"/>
      <c r="D133" s="207"/>
      <c r="E133" s="25"/>
      <c r="F133" s="25"/>
      <c r="G133" s="30"/>
      <c r="H133" s="207"/>
      <c r="I133" s="25"/>
      <c r="J133" s="207"/>
      <c r="K133" s="37"/>
      <c r="L133" s="8"/>
    </row>
    <row r="134" spans="1:12" ht="12.75" customHeight="1">
      <c r="A134" s="2"/>
      <c r="B134" s="25"/>
      <c r="C134" s="30"/>
      <c r="D134" s="207"/>
      <c r="E134" s="25"/>
      <c r="F134" s="25"/>
      <c r="G134" s="512" t="s">
        <v>285</v>
      </c>
      <c r="H134" s="513"/>
      <c r="I134" s="25"/>
      <c r="J134" s="44">
        <v>0.2</v>
      </c>
      <c r="K134" s="10">
        <f>IF(Datenblatt!G88=TRUE,(K112+K114+K116+K118+K120+K122+K124+K126+K128+K130+K132)*$J$134,0)*-1</f>
        <v>0</v>
      </c>
      <c r="L134" s="8"/>
    </row>
    <row r="135" spans="1:12" ht="4.5" customHeight="1">
      <c r="A135" s="2"/>
      <c r="B135" s="25"/>
      <c r="C135" s="30"/>
      <c r="D135" s="207"/>
      <c r="E135" s="25"/>
      <c r="F135" s="25"/>
      <c r="G135" s="30"/>
      <c r="H135" s="207"/>
      <c r="I135" s="25"/>
      <c r="J135" s="207"/>
      <c r="K135" s="37"/>
      <c r="L135" s="8"/>
    </row>
    <row r="136" spans="1:12" ht="12.75">
      <c r="A136" s="2"/>
      <c r="B136" s="25"/>
      <c r="C136" s="30"/>
      <c r="D136" s="207"/>
      <c r="E136" s="25"/>
      <c r="F136" s="25"/>
      <c r="G136" s="338" t="s">
        <v>97</v>
      </c>
      <c r="H136" s="344"/>
      <c r="I136" s="25"/>
      <c r="J136" s="44">
        <v>0.1</v>
      </c>
      <c r="K136" s="10">
        <f>IF(Datenblatt!G90=TRUE,(K112+K114+K116+K118+K120+K122+K124+K126+K128+K130+K132+K134)*$J$136,0)*-1</f>
        <v>0</v>
      </c>
      <c r="L136" s="8"/>
    </row>
    <row r="137" spans="1:12" ht="4.5" customHeight="1">
      <c r="A137" s="2"/>
      <c r="B137" s="25"/>
      <c r="C137" s="30"/>
      <c r="D137" s="207"/>
      <c r="E137" s="25"/>
      <c r="F137" s="25"/>
      <c r="G137" s="30"/>
      <c r="H137" s="207"/>
      <c r="I137" s="25"/>
      <c r="J137" s="207"/>
      <c r="K137" s="37"/>
      <c r="L137" s="8"/>
    </row>
    <row r="138" spans="1:17" ht="12.75">
      <c r="A138" s="2"/>
      <c r="B138" s="25"/>
      <c r="C138" s="209"/>
      <c r="D138" s="507" t="s">
        <v>117</v>
      </c>
      <c r="E138" s="507"/>
      <c r="F138" s="210"/>
      <c r="G138" s="508" t="s">
        <v>286</v>
      </c>
      <c r="H138" s="509"/>
      <c r="I138" s="210"/>
      <c r="J138" s="44">
        <v>0.1</v>
      </c>
      <c r="K138" s="10">
        <f>IF(Datenblatt!G92=TRUE,(K112+K114+K116+K118+K120+K122+K124+K126+K128+K130+K132+K134+K136)*$J$138,0)*-1</f>
        <v>0</v>
      </c>
      <c r="L138" s="8"/>
      <c r="N138" s="11"/>
      <c r="O138" s="11"/>
      <c r="P138" s="11"/>
      <c r="Q138" s="11"/>
    </row>
    <row r="139" spans="1:12" ht="4.5" customHeight="1">
      <c r="A139" s="2"/>
      <c r="B139" s="25"/>
      <c r="C139" s="30"/>
      <c r="D139" s="207"/>
      <c r="E139" s="25"/>
      <c r="F139" s="25"/>
      <c r="G139" s="30"/>
      <c r="H139" s="207"/>
      <c r="I139" s="25"/>
      <c r="J139" s="207"/>
      <c r="K139" s="37"/>
      <c r="L139" s="8"/>
    </row>
    <row r="140" spans="1:12" ht="12.75">
      <c r="A140" s="2"/>
      <c r="B140" s="207" t="s">
        <v>5</v>
      </c>
      <c r="C140" s="30"/>
      <c r="D140" s="30"/>
      <c r="E140" s="30"/>
      <c r="F140" s="63"/>
      <c r="G140" s="369" t="s">
        <v>288</v>
      </c>
      <c r="H140" s="370"/>
      <c r="I140" s="370"/>
      <c r="J140" s="370"/>
      <c r="K140" s="20">
        <f>IF(K112=0,0,MAX(Datenblatt!G107,ROUND(SUM(K112:K138),1)))</f>
        <v>1818</v>
      </c>
      <c r="L140" s="8"/>
    </row>
    <row r="141" spans="1:12" ht="4.5" customHeight="1">
      <c r="A141" s="2"/>
      <c r="B141" s="25"/>
      <c r="C141" s="32"/>
      <c r="D141" s="32"/>
      <c r="E141" s="25"/>
      <c r="F141" s="25"/>
      <c r="G141" s="30"/>
      <c r="H141" s="207"/>
      <c r="I141" s="25"/>
      <c r="J141" s="207"/>
      <c r="K141" s="37"/>
      <c r="L141" s="8"/>
    </row>
    <row r="142" spans="1:12" ht="12.75">
      <c r="A142" s="2"/>
      <c r="B142" s="25"/>
      <c r="C142" s="438" t="s">
        <v>200</v>
      </c>
      <c r="D142" s="438"/>
      <c r="E142" s="163" t="str">
        <f>C35</f>
        <v>halbjährlich</v>
      </c>
      <c r="F142" s="218"/>
      <c r="G142" s="338" t="s">
        <v>99</v>
      </c>
      <c r="H142" s="344"/>
      <c r="I142" s="218"/>
      <c r="J142" s="41">
        <f>Datenblatt!E11</f>
        <v>0</v>
      </c>
      <c r="K142" s="10">
        <f>K140*$J$142</f>
        <v>0</v>
      </c>
      <c r="L142" s="8"/>
    </row>
    <row r="143" spans="1:12" ht="4.5" customHeight="1">
      <c r="A143" s="2"/>
      <c r="B143" s="25"/>
      <c r="C143" s="32"/>
      <c r="D143" s="32"/>
      <c r="E143" s="25"/>
      <c r="F143" s="25"/>
      <c r="G143" s="30"/>
      <c r="H143" s="207"/>
      <c r="I143" s="25"/>
      <c r="J143" s="207"/>
      <c r="K143" s="37"/>
      <c r="L143" s="8"/>
    </row>
    <row r="144" spans="1:15" ht="12.75">
      <c r="A144" s="2"/>
      <c r="B144" s="25"/>
      <c r="C144" s="207"/>
      <c r="D144" s="207"/>
      <c r="E144" s="207"/>
      <c r="F144" s="218"/>
      <c r="G144" s="338" t="s">
        <v>100</v>
      </c>
      <c r="H144" s="344"/>
      <c r="I144" s="218"/>
      <c r="J144" s="41">
        <v>0.19</v>
      </c>
      <c r="K144" s="10">
        <f>(K140+K142)*J144</f>
        <v>345.42</v>
      </c>
      <c r="L144" s="8"/>
      <c r="O144" s="7"/>
    </row>
    <row r="145" spans="1:12" ht="4.5" customHeight="1">
      <c r="A145" s="2"/>
      <c r="B145" s="25"/>
      <c r="C145" s="30"/>
      <c r="D145" s="207"/>
      <c r="E145" s="25"/>
      <c r="F145" s="25"/>
      <c r="G145" s="30"/>
      <c r="H145" s="207"/>
      <c r="I145" s="25"/>
      <c r="J145" s="207"/>
      <c r="K145" s="37"/>
      <c r="L145" s="8"/>
    </row>
    <row r="146" spans="1:12" ht="12.75" customHeight="1" thickBot="1">
      <c r="A146" s="2"/>
      <c r="B146" s="25"/>
      <c r="C146" s="30"/>
      <c r="D146" s="207"/>
      <c r="E146" s="25"/>
      <c r="F146" s="25"/>
      <c r="G146" s="411" t="s">
        <v>86</v>
      </c>
      <c r="H146" s="412"/>
      <c r="I146" s="412"/>
      <c r="J146" s="413"/>
      <c r="K146" s="19">
        <f>SUM(K140:K145)</f>
        <v>2163.42</v>
      </c>
      <c r="L146" s="8"/>
    </row>
    <row r="147" spans="1:12" ht="12.75">
      <c r="A147" s="2"/>
      <c r="B147" s="414" t="s">
        <v>107</v>
      </c>
      <c r="C147" s="414"/>
      <c r="D147" s="414"/>
      <c r="E147" s="414"/>
      <c r="F147" s="414"/>
      <c r="G147" s="414"/>
      <c r="H147" s="414"/>
      <c r="I147" s="414"/>
      <c r="J147" s="414"/>
      <c r="K147" s="414"/>
      <c r="L147" s="8"/>
    </row>
    <row r="148" spans="1:12" ht="4.5" customHeight="1">
      <c r="A148" s="2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8"/>
    </row>
    <row r="149" spans="1:12" ht="1.5" customHeight="1">
      <c r="A149" s="2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8"/>
    </row>
    <row r="150" spans="1:12" ht="12.75">
      <c r="A150" s="343"/>
      <c r="B150" s="344"/>
      <c r="C150" s="344"/>
      <c r="D150" s="344"/>
      <c r="E150" s="344"/>
      <c r="F150" s="344"/>
      <c r="G150" s="344"/>
      <c r="H150" s="344"/>
      <c r="I150" s="344"/>
      <c r="J150" s="344"/>
      <c r="K150" s="344"/>
      <c r="L150" s="8"/>
    </row>
    <row r="151" spans="1:12" ht="12.75">
      <c r="A151" s="2"/>
      <c r="B151" s="349" t="s">
        <v>77</v>
      </c>
      <c r="C151" s="338"/>
      <c r="D151" s="338"/>
      <c r="E151" s="378"/>
      <c r="F151" s="206"/>
      <c r="G151" s="338" t="s">
        <v>54</v>
      </c>
      <c r="H151" s="338"/>
      <c r="I151" s="206"/>
      <c r="J151" s="406"/>
      <c r="K151" s="415"/>
      <c r="L151" s="8"/>
    </row>
    <row r="152" spans="1:12" ht="4.5" customHeight="1">
      <c r="A152" s="2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8"/>
    </row>
    <row r="153" spans="1:12" ht="12.75">
      <c r="A153" s="2"/>
      <c r="B153" s="26"/>
      <c r="C153" s="416" t="s">
        <v>80</v>
      </c>
      <c r="D153" s="417"/>
      <c r="E153" s="417"/>
      <c r="F153" s="417"/>
      <c r="G153" s="417"/>
      <c r="H153" s="417"/>
      <c r="I153" s="417"/>
      <c r="J153" s="417"/>
      <c r="K153" s="417"/>
      <c r="L153" s="8"/>
    </row>
    <row r="154" spans="1:12" ht="4.5" customHeight="1">
      <c r="A154" s="2"/>
      <c r="B154" s="26"/>
      <c r="C154" s="213"/>
      <c r="D154" s="62"/>
      <c r="E154" s="62"/>
      <c r="F154" s="62"/>
      <c r="G154" s="62"/>
      <c r="H154" s="62"/>
      <c r="I154" s="62"/>
      <c r="J154" s="62"/>
      <c r="K154" s="62"/>
      <c r="L154" s="8"/>
    </row>
    <row r="155" spans="1:12" ht="12.75">
      <c r="A155" s="2"/>
      <c r="B155" s="26"/>
      <c r="C155" s="406"/>
      <c r="D155" s="380"/>
      <c r="E155" s="380"/>
      <c r="F155" s="380"/>
      <c r="G155" s="380"/>
      <c r="H155" s="380"/>
      <c r="I155" s="380"/>
      <c r="J155" s="380"/>
      <c r="K155" s="380"/>
      <c r="L155" s="8"/>
    </row>
    <row r="156" spans="1:12" ht="4.5" customHeight="1">
      <c r="A156" s="2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8"/>
    </row>
    <row r="157" spans="1:12" ht="12.75">
      <c r="A157" s="2"/>
      <c r="B157" s="26"/>
      <c r="C157" s="406"/>
      <c r="D157" s="380"/>
      <c r="E157" s="380"/>
      <c r="F157" s="380"/>
      <c r="G157" s="380"/>
      <c r="H157" s="380"/>
      <c r="I157" s="380"/>
      <c r="J157" s="380"/>
      <c r="K157" s="380"/>
      <c r="L157" s="8"/>
    </row>
    <row r="158" spans="1:12" ht="4.5" customHeight="1">
      <c r="A158" s="2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8"/>
    </row>
    <row r="159" spans="1:12" ht="1.5" customHeight="1">
      <c r="A159" s="2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8"/>
    </row>
    <row r="160" spans="1:12" ht="12.75">
      <c r="A160" s="343"/>
      <c r="B160" s="344"/>
      <c r="C160" s="344"/>
      <c r="D160" s="344"/>
      <c r="E160" s="344"/>
      <c r="F160" s="344"/>
      <c r="G160" s="344"/>
      <c r="H160" s="344"/>
      <c r="I160" s="344"/>
      <c r="J160" s="344"/>
      <c r="K160" s="344"/>
      <c r="L160" s="8"/>
    </row>
    <row r="161" spans="1:12" ht="12.75">
      <c r="A161" s="2"/>
      <c r="B161" s="349" t="s">
        <v>78</v>
      </c>
      <c r="C161" s="349"/>
      <c r="D161" s="349"/>
      <c r="E161" s="25"/>
      <c r="F161" s="25"/>
      <c r="G161" s="25"/>
      <c r="H161" s="25"/>
      <c r="I161" s="25"/>
      <c r="J161" s="25"/>
      <c r="K161" s="25"/>
      <c r="L161" s="8"/>
    </row>
    <row r="162" spans="1:12" ht="12.75">
      <c r="A162" s="2"/>
      <c r="B162" s="405" t="s">
        <v>202</v>
      </c>
      <c r="C162" s="405"/>
      <c r="D162" s="405"/>
      <c r="E162" s="405"/>
      <c r="F162" s="405"/>
      <c r="G162" s="405"/>
      <c r="H162" s="405"/>
      <c r="I162" s="405"/>
      <c r="J162" s="405"/>
      <c r="K162" s="405"/>
      <c r="L162" s="8"/>
    </row>
    <row r="163" spans="1:12" ht="12.75">
      <c r="A163" s="2"/>
      <c r="B163" s="405" t="s">
        <v>101</v>
      </c>
      <c r="C163" s="405"/>
      <c r="D163" s="405"/>
      <c r="E163" s="405"/>
      <c r="F163" s="405"/>
      <c r="G163" s="405"/>
      <c r="H163" s="405"/>
      <c r="I163" s="405"/>
      <c r="J163" s="405"/>
      <c r="K163" s="405"/>
      <c r="L163" s="8"/>
    </row>
    <row r="164" spans="1:12" ht="12.75">
      <c r="A164" s="2"/>
      <c r="B164" s="414" t="s">
        <v>81</v>
      </c>
      <c r="C164" s="414"/>
      <c r="D164" s="414"/>
      <c r="E164" s="414"/>
      <c r="F164" s="414"/>
      <c r="G164" s="414"/>
      <c r="H164" s="414"/>
      <c r="I164" s="414"/>
      <c r="J164" s="414"/>
      <c r="K164" s="414"/>
      <c r="L164" s="8"/>
    </row>
    <row r="165" spans="1:12" ht="12.75">
      <c r="A165" s="2"/>
      <c r="B165" s="361" t="s">
        <v>35</v>
      </c>
      <c r="C165" s="414"/>
      <c r="D165" s="414" t="s">
        <v>36</v>
      </c>
      <c r="E165" s="414"/>
      <c r="F165" s="414"/>
      <c r="G165" s="414"/>
      <c r="H165" s="414"/>
      <c r="I165" s="414"/>
      <c r="J165" s="414"/>
      <c r="K165" s="414"/>
      <c r="L165" s="8"/>
    </row>
    <row r="166" spans="1:12" ht="12.75">
      <c r="A166" s="2"/>
      <c r="B166" s="39"/>
      <c r="C166" s="39"/>
      <c r="D166" s="414" t="s">
        <v>37</v>
      </c>
      <c r="E166" s="414"/>
      <c r="F166" s="414"/>
      <c r="G166" s="414"/>
      <c r="H166" s="414"/>
      <c r="I166" s="414"/>
      <c r="J166" s="414"/>
      <c r="K166" s="414"/>
      <c r="L166" s="8"/>
    </row>
    <row r="167" spans="1:12" ht="12.75">
      <c r="A167" s="2"/>
      <c r="B167" s="361" t="s">
        <v>39</v>
      </c>
      <c r="C167" s="414"/>
      <c r="D167" s="414" t="s">
        <v>38</v>
      </c>
      <c r="E167" s="414"/>
      <c r="F167" s="414"/>
      <c r="G167" s="414"/>
      <c r="H167" s="414"/>
      <c r="I167" s="414"/>
      <c r="J167" s="414"/>
      <c r="K167" s="414"/>
      <c r="L167" s="8"/>
    </row>
    <row r="168" spans="1:12" ht="12.75">
      <c r="A168" s="2"/>
      <c r="B168" s="361" t="s">
        <v>40</v>
      </c>
      <c r="C168" s="378"/>
      <c r="D168" s="414" t="s">
        <v>102</v>
      </c>
      <c r="E168" s="414"/>
      <c r="F168" s="414"/>
      <c r="G168" s="414"/>
      <c r="H168" s="414"/>
      <c r="I168" s="414"/>
      <c r="J168" s="414"/>
      <c r="K168" s="414"/>
      <c r="L168" s="8"/>
    </row>
    <row r="169" spans="1:12" ht="4.5" customHeight="1">
      <c r="A169" s="2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8"/>
    </row>
    <row r="170" spans="1:12" ht="1.5" customHeight="1">
      <c r="A170" s="2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8"/>
    </row>
    <row r="171" spans="2:12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8"/>
    </row>
    <row r="172" spans="1:12" ht="12.75">
      <c r="A172" s="2"/>
      <c r="B172" s="349" t="s">
        <v>79</v>
      </c>
      <c r="C172" s="349"/>
      <c r="D172" s="349"/>
      <c r="E172" s="25"/>
      <c r="F172" s="25"/>
      <c r="G172" s="25"/>
      <c r="H172" s="25"/>
      <c r="I172" s="25"/>
      <c r="J172" s="25"/>
      <c r="K172" s="25"/>
      <c r="L172" s="8"/>
    </row>
    <row r="173" spans="1:12" ht="12.75">
      <c r="A173" s="2"/>
      <c r="B173" s="414" t="s">
        <v>41</v>
      </c>
      <c r="C173" s="414"/>
      <c r="D173" s="414"/>
      <c r="E173" s="414"/>
      <c r="F173" s="414"/>
      <c r="G173" s="414"/>
      <c r="H173" s="414"/>
      <c r="I173" s="414"/>
      <c r="J173" s="414"/>
      <c r="K173" s="414"/>
      <c r="L173" s="8"/>
    </row>
    <row r="174" spans="1:12" ht="12.75">
      <c r="A174" s="2"/>
      <c r="B174" s="414" t="s">
        <v>42</v>
      </c>
      <c r="C174" s="414"/>
      <c r="D174" s="414"/>
      <c r="E174" s="414"/>
      <c r="F174" s="414"/>
      <c r="G174" s="414"/>
      <c r="H174" s="414"/>
      <c r="I174" s="414"/>
      <c r="J174" s="414"/>
      <c r="K174" s="414"/>
      <c r="L174" s="8"/>
    </row>
    <row r="175" spans="1:12" ht="4.5" customHeight="1">
      <c r="A175" s="2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8"/>
    </row>
    <row r="176" spans="1:12" ht="9.75" customHeight="1">
      <c r="A176" s="2"/>
      <c r="B176" s="26"/>
      <c r="C176" s="427"/>
      <c r="D176" s="428"/>
      <c r="E176" s="64"/>
      <c r="F176" s="65"/>
      <c r="G176" s="431"/>
      <c r="H176" s="432"/>
      <c r="I176" s="432"/>
      <c r="J176" s="432"/>
      <c r="K176" s="433"/>
      <c r="L176" s="8"/>
    </row>
    <row r="177" spans="1:12" ht="9.75" customHeight="1">
      <c r="A177" s="2"/>
      <c r="B177" s="26"/>
      <c r="C177" s="429"/>
      <c r="D177" s="430"/>
      <c r="E177" s="64"/>
      <c r="F177" s="65"/>
      <c r="G177" s="434"/>
      <c r="H177" s="434"/>
      <c r="I177" s="434"/>
      <c r="J177" s="434"/>
      <c r="K177" s="435"/>
      <c r="L177" s="8"/>
    </row>
    <row r="178" spans="1:12" ht="13.5" thickBot="1">
      <c r="A178" s="2"/>
      <c r="B178" s="194"/>
      <c r="C178" s="418" t="s">
        <v>43</v>
      </c>
      <c r="D178" s="418"/>
      <c r="E178" s="419"/>
      <c r="F178" s="204"/>
      <c r="G178" s="418" t="s">
        <v>44</v>
      </c>
      <c r="H178" s="418"/>
      <c r="I178" s="418"/>
      <c r="J178" s="418"/>
      <c r="K178" s="418"/>
      <c r="L178" s="8"/>
    </row>
    <row r="179" spans="1:12" ht="44.25" customHeight="1">
      <c r="A179" s="8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8"/>
    </row>
    <row r="469" spans="4:7" ht="12.75">
      <c r="D469" s="18" t="s">
        <v>66</v>
      </c>
      <c r="E469" s="18" t="s">
        <v>67</v>
      </c>
      <c r="F469" s="18"/>
      <c r="G469" s="18" t="s">
        <v>68</v>
      </c>
    </row>
    <row r="470" spans="18:23" ht="12.75">
      <c r="R470" s="109" t="s">
        <v>137</v>
      </c>
      <c r="S470" s="109" t="s">
        <v>82</v>
      </c>
      <c r="T470" s="13" t="s">
        <v>60</v>
      </c>
      <c r="U470" s="13" t="s">
        <v>84</v>
      </c>
      <c r="V470" s="13" t="s">
        <v>83</v>
      </c>
      <c r="W470" s="13" t="s">
        <v>85</v>
      </c>
    </row>
    <row r="471" spans="4:23" ht="12.75">
      <c r="D471" s="1" t="b">
        <f aca="true" t="array" ref="D471">OR(EXACT(D72&amp;D74,Datenblatt!E167:E240))</f>
        <v>0</v>
      </c>
      <c r="E471" s="1" t="b">
        <f aca="true" t="array" ref="E471">OR(EXACT(G72&amp;G74,Datenblatt!E167:E240))</f>
        <v>0</v>
      </c>
      <c r="G471" s="1" t="b">
        <f aca="true" t="array" ref="G471">OR(EXACT(J72&amp;J74,Datenblatt!E167:E240))</f>
        <v>0</v>
      </c>
      <c r="R471" s="106" t="s">
        <v>138</v>
      </c>
      <c r="S471" s="106" t="s">
        <v>144</v>
      </c>
      <c r="T471" s="106" t="s">
        <v>148</v>
      </c>
      <c r="U471" s="1" t="s">
        <v>230</v>
      </c>
      <c r="V471" s="106" t="s">
        <v>166</v>
      </c>
      <c r="W471" s="106" t="s">
        <v>173</v>
      </c>
    </row>
    <row r="472" spans="18:23" ht="12.75">
      <c r="R472" s="106" t="s">
        <v>140</v>
      </c>
      <c r="S472" s="106" t="s">
        <v>146</v>
      </c>
      <c r="T472" s="106" t="s">
        <v>149</v>
      </c>
      <c r="U472" s="106" t="s">
        <v>233</v>
      </c>
      <c r="V472" s="106" t="s">
        <v>168</v>
      </c>
      <c r="W472" s="106" t="s">
        <v>238</v>
      </c>
    </row>
    <row r="473" spans="4:23" ht="12.75">
      <c r="D473" s="354" t="s">
        <v>284</v>
      </c>
      <c r="E473" s="355"/>
      <c r="F473" s="355"/>
      <c r="G473" s="355"/>
      <c r="R473" s="106" t="s">
        <v>141</v>
      </c>
      <c r="S473" s="106" t="s">
        <v>147</v>
      </c>
      <c r="T473" s="106" t="s">
        <v>209</v>
      </c>
      <c r="U473" s="1" t="s">
        <v>217</v>
      </c>
      <c r="V473" s="106" t="s">
        <v>169</v>
      </c>
      <c r="W473" s="106" t="s">
        <v>174</v>
      </c>
    </row>
    <row r="474" spans="18:23" ht="12.75">
      <c r="R474" s="106" t="s">
        <v>142</v>
      </c>
      <c r="T474" s="106" t="s">
        <v>208</v>
      </c>
      <c r="U474" s="106" t="s">
        <v>232</v>
      </c>
      <c r="V474" s="106" t="s">
        <v>170</v>
      </c>
      <c r="W474" s="106" t="s">
        <v>175</v>
      </c>
    </row>
    <row r="475" spans="18:23" ht="12.75">
      <c r="R475" s="106" t="s">
        <v>143</v>
      </c>
      <c r="T475" s="1" t="s">
        <v>214</v>
      </c>
      <c r="U475" s="106" t="s">
        <v>231</v>
      </c>
      <c r="V475" s="106" t="s">
        <v>171</v>
      </c>
      <c r="W475" s="106" t="s">
        <v>237</v>
      </c>
    </row>
    <row r="476" spans="20:22" ht="12.75">
      <c r="T476" s="106" t="s">
        <v>207</v>
      </c>
      <c r="U476" s="106" t="s">
        <v>150</v>
      </c>
      <c r="V476" s="106" t="s">
        <v>210</v>
      </c>
    </row>
    <row r="477" spans="20:22" ht="12.75">
      <c r="T477" s="106" t="s">
        <v>206</v>
      </c>
      <c r="U477" s="1" t="s">
        <v>219</v>
      </c>
      <c r="V477" s="106" t="s">
        <v>211</v>
      </c>
    </row>
    <row r="478" spans="20:21" ht="12.75">
      <c r="T478" s="1" t="s">
        <v>216</v>
      </c>
      <c r="U478" s="106" t="s">
        <v>151</v>
      </c>
    </row>
    <row r="479" spans="20:21" ht="12.75">
      <c r="T479" s="106" t="s">
        <v>215</v>
      </c>
      <c r="U479" s="106" t="s">
        <v>152</v>
      </c>
    </row>
    <row r="480" ht="12.75">
      <c r="U480" s="106" t="s">
        <v>153</v>
      </c>
    </row>
    <row r="481" ht="12.75">
      <c r="U481" s="106" t="s">
        <v>234</v>
      </c>
    </row>
    <row r="482" ht="12.75">
      <c r="U482" s="1" t="s">
        <v>221</v>
      </c>
    </row>
    <row r="483" ht="12.75">
      <c r="U483" s="106" t="s">
        <v>154</v>
      </c>
    </row>
    <row r="484" ht="12.75">
      <c r="U484" s="106" t="s">
        <v>236</v>
      </c>
    </row>
    <row r="485" ht="12.75">
      <c r="U485" s="1" t="s">
        <v>222</v>
      </c>
    </row>
    <row r="486" ht="12.75">
      <c r="U486" s="106" t="s">
        <v>155</v>
      </c>
    </row>
    <row r="487" ht="12.75">
      <c r="U487" s="106" t="s">
        <v>235</v>
      </c>
    </row>
    <row r="488" ht="12.75">
      <c r="U488" s="106" t="s">
        <v>156</v>
      </c>
    </row>
    <row r="489" ht="12.75">
      <c r="U489" s="106" t="s">
        <v>157</v>
      </c>
    </row>
    <row r="490" ht="12.75">
      <c r="U490" s="106" t="s">
        <v>158</v>
      </c>
    </row>
    <row r="491" ht="12.75">
      <c r="U491" s="1" t="s">
        <v>225</v>
      </c>
    </row>
    <row r="492" ht="12.75">
      <c r="U492" s="106" t="s">
        <v>159</v>
      </c>
    </row>
    <row r="493" ht="12.75">
      <c r="U493" s="1" t="s">
        <v>223</v>
      </c>
    </row>
    <row r="494" ht="12.75">
      <c r="U494" s="1" t="s">
        <v>218</v>
      </c>
    </row>
    <row r="495" ht="12.75">
      <c r="U495" s="1" t="s">
        <v>227</v>
      </c>
    </row>
    <row r="496" ht="12.75">
      <c r="U496" s="106" t="s">
        <v>160</v>
      </c>
    </row>
    <row r="497" ht="12.75">
      <c r="U497" s="1" t="s">
        <v>226</v>
      </c>
    </row>
    <row r="498" ht="12.75">
      <c r="U498" s="1" t="s">
        <v>228</v>
      </c>
    </row>
    <row r="499" ht="12.75">
      <c r="U499" s="106" t="s">
        <v>161</v>
      </c>
    </row>
    <row r="500" ht="12.75">
      <c r="U500" s="106" t="s">
        <v>162</v>
      </c>
    </row>
    <row r="501" ht="12.75">
      <c r="U501" s="1" t="s">
        <v>220</v>
      </c>
    </row>
    <row r="502" ht="12.75">
      <c r="U502" s="106" t="s">
        <v>163</v>
      </c>
    </row>
    <row r="503" ht="12.75">
      <c r="U503" s="1" t="s">
        <v>229</v>
      </c>
    </row>
    <row r="504" ht="12.75">
      <c r="U504" s="106" t="s">
        <v>164</v>
      </c>
    </row>
    <row r="505" ht="12.75">
      <c r="U505" s="106" t="s">
        <v>165</v>
      </c>
    </row>
    <row r="506" ht="12.75">
      <c r="U506" s="1" t="s">
        <v>224</v>
      </c>
    </row>
  </sheetData>
  <sheetProtection selectLockedCells="1"/>
  <mergeCells count="156">
    <mergeCell ref="D473:G473"/>
    <mergeCell ref="B172:D172"/>
    <mergeCell ref="B173:K173"/>
    <mergeCell ref="B174:K174"/>
    <mergeCell ref="C176:D177"/>
    <mergeCell ref="G176:K177"/>
    <mergeCell ref="C178:E178"/>
    <mergeCell ref="G178:K178"/>
    <mergeCell ref="B165:C165"/>
    <mergeCell ref="D165:K165"/>
    <mergeCell ref="D166:K166"/>
    <mergeCell ref="B167:C167"/>
    <mergeCell ref="D167:K167"/>
    <mergeCell ref="B168:C168"/>
    <mergeCell ref="D168:K168"/>
    <mergeCell ref="C157:K157"/>
    <mergeCell ref="A160:K160"/>
    <mergeCell ref="B161:D161"/>
    <mergeCell ref="B162:K162"/>
    <mergeCell ref="B163:K163"/>
    <mergeCell ref="B164:K164"/>
    <mergeCell ref="A150:K150"/>
    <mergeCell ref="B151:E151"/>
    <mergeCell ref="G151:H151"/>
    <mergeCell ref="J151:K151"/>
    <mergeCell ref="C153:K153"/>
    <mergeCell ref="C155:K155"/>
    <mergeCell ref="G140:J140"/>
    <mergeCell ref="C142:D142"/>
    <mergeCell ref="G142:H142"/>
    <mergeCell ref="G144:H144"/>
    <mergeCell ref="G146:J146"/>
    <mergeCell ref="B147:K147"/>
    <mergeCell ref="G128:H128"/>
    <mergeCell ref="G130:H130"/>
    <mergeCell ref="G132:H132"/>
    <mergeCell ref="G134:H134"/>
    <mergeCell ref="G136:H136"/>
    <mergeCell ref="D138:E138"/>
    <mergeCell ref="G138:H138"/>
    <mergeCell ref="C122:E122"/>
    <mergeCell ref="G122:H122"/>
    <mergeCell ref="D124:E124"/>
    <mergeCell ref="G124:H124"/>
    <mergeCell ref="C126:E126"/>
    <mergeCell ref="G126:H126"/>
    <mergeCell ref="G112:J112"/>
    <mergeCell ref="C114:E114"/>
    <mergeCell ref="G114:H114"/>
    <mergeCell ref="G116:H116"/>
    <mergeCell ref="G118:H118"/>
    <mergeCell ref="G120:H120"/>
    <mergeCell ref="G102:H102"/>
    <mergeCell ref="C104:E104"/>
    <mergeCell ref="G104:H104"/>
    <mergeCell ref="C106:E106"/>
    <mergeCell ref="G108:H108"/>
    <mergeCell ref="C110:E110"/>
    <mergeCell ref="G110:H110"/>
    <mergeCell ref="C92:E92"/>
    <mergeCell ref="C94:E94"/>
    <mergeCell ref="G96:H96"/>
    <mergeCell ref="C98:E98"/>
    <mergeCell ref="G98:H98"/>
    <mergeCell ref="C100:E100"/>
    <mergeCell ref="B86:C86"/>
    <mergeCell ref="E86:H86"/>
    <mergeCell ref="J86:K86"/>
    <mergeCell ref="A89:K89"/>
    <mergeCell ref="B90:D90"/>
    <mergeCell ref="E90:G90"/>
    <mergeCell ref="H90:J90"/>
    <mergeCell ref="B83:C83"/>
    <mergeCell ref="D83:E83"/>
    <mergeCell ref="G83:H83"/>
    <mergeCell ref="J83:K83"/>
    <mergeCell ref="B84:C85"/>
    <mergeCell ref="D84:E85"/>
    <mergeCell ref="G84:H85"/>
    <mergeCell ref="J84:K85"/>
    <mergeCell ref="B79:C79"/>
    <mergeCell ref="D79:E79"/>
    <mergeCell ref="G79:H79"/>
    <mergeCell ref="J79:K79"/>
    <mergeCell ref="B81:C81"/>
    <mergeCell ref="D81:E81"/>
    <mergeCell ref="G81:H81"/>
    <mergeCell ref="J81:K81"/>
    <mergeCell ref="D75:E75"/>
    <mergeCell ref="G75:H75"/>
    <mergeCell ref="J75:K75"/>
    <mergeCell ref="B77:C77"/>
    <mergeCell ref="D77:E77"/>
    <mergeCell ref="G77:H77"/>
    <mergeCell ref="J77:K77"/>
    <mergeCell ref="B72:C72"/>
    <mergeCell ref="D72:E72"/>
    <mergeCell ref="G72:H72"/>
    <mergeCell ref="J72:K72"/>
    <mergeCell ref="B74:C74"/>
    <mergeCell ref="D74:E74"/>
    <mergeCell ref="G74:H74"/>
    <mergeCell ref="J74:K74"/>
    <mergeCell ref="B65:H65"/>
    <mergeCell ref="H68:K68"/>
    <mergeCell ref="B69:D69"/>
    <mergeCell ref="D70:E70"/>
    <mergeCell ref="G70:H70"/>
    <mergeCell ref="J70:K70"/>
    <mergeCell ref="B53:C53"/>
    <mergeCell ref="B54:C55"/>
    <mergeCell ref="H58:K58"/>
    <mergeCell ref="B59:D59"/>
    <mergeCell ref="B61:H61"/>
    <mergeCell ref="B63:H63"/>
    <mergeCell ref="C41:J41"/>
    <mergeCell ref="A44:K44"/>
    <mergeCell ref="B45:D45"/>
    <mergeCell ref="H47:K47"/>
    <mergeCell ref="H49:K49"/>
    <mergeCell ref="J51:K51"/>
    <mergeCell ref="B26:B27"/>
    <mergeCell ref="E27:K27"/>
    <mergeCell ref="A30:K30"/>
    <mergeCell ref="B31:E31"/>
    <mergeCell ref="C35:D35"/>
    <mergeCell ref="C37:D37"/>
    <mergeCell ref="C19:K19"/>
    <mergeCell ref="C21:K21"/>
    <mergeCell ref="C23:D23"/>
    <mergeCell ref="E23:G23"/>
    <mergeCell ref="J23:K23"/>
    <mergeCell ref="C25:D25"/>
    <mergeCell ref="E25:H25"/>
    <mergeCell ref="J25:K25"/>
    <mergeCell ref="C13:E13"/>
    <mergeCell ref="H13:K13"/>
    <mergeCell ref="H14:K14"/>
    <mergeCell ref="A16:K16"/>
    <mergeCell ref="B17:E17"/>
    <mergeCell ref="B18:K18"/>
    <mergeCell ref="A6:K6"/>
    <mergeCell ref="B7:D7"/>
    <mergeCell ref="E7:E12"/>
    <mergeCell ref="H7:K9"/>
    <mergeCell ref="B8:D8"/>
    <mergeCell ref="C9:D9"/>
    <mergeCell ref="H10:K10"/>
    <mergeCell ref="H11:K11"/>
    <mergeCell ref="H12:K12"/>
    <mergeCell ref="A1:H1"/>
    <mergeCell ref="J1:J5"/>
    <mergeCell ref="K1:K5"/>
    <mergeCell ref="A2:A5"/>
    <mergeCell ref="B2:G2"/>
    <mergeCell ref="B3:G4"/>
  </mergeCells>
  <conditionalFormatting sqref="J151:K151">
    <cfRule type="expression" priority="62" dxfId="0" stopIfTrue="1">
      <formula>IF(AND($M$151=TRUE,ISBLANK(J151:K151)),TRUE,FALSE)</formula>
    </cfRule>
  </conditionalFormatting>
  <conditionalFormatting sqref="C94:D94 C21:H21 C33 G33 J21:K21">
    <cfRule type="expression" priority="60" dxfId="0" stopIfTrue="1">
      <formula>IF(ISBLANK(C21),TRUE,FALSE)</formula>
    </cfRule>
  </conditionalFormatting>
  <conditionalFormatting sqref="J23:K23">
    <cfRule type="expression" priority="63" dxfId="0" stopIfTrue="1">
      <formula>IF(AND($L$23=TRUE,ISBLANK(J23:K23)),TRUE,FALSE)</formula>
    </cfRule>
  </conditionalFormatting>
  <conditionalFormatting sqref="J128">
    <cfRule type="expression" priority="59" dxfId="9" stopIfTrue="1">
      <formula>IF(AND($O$128=TRUE,ISBLANK(J128)),TRUE,FALSE)</formula>
    </cfRule>
  </conditionalFormatting>
  <conditionalFormatting sqref="J134">
    <cfRule type="expression" priority="58" dxfId="9" stopIfTrue="1">
      <formula>IF(AND($O$134=TRUE,ISBLANK(J134)),TRUE,FALSE)</formula>
    </cfRule>
  </conditionalFormatting>
  <conditionalFormatting sqref="J136">
    <cfRule type="expression" priority="57" dxfId="9" stopIfTrue="1">
      <formula>IF(AND($O$136=TRUE,($J$136=0)),TRUE,FALSE)</formula>
    </cfRule>
  </conditionalFormatting>
  <conditionalFormatting sqref="H11">
    <cfRule type="expression" priority="56" dxfId="9" stopIfTrue="1">
      <formula>IF(ISBLANK(H11),TRUE,FALSE)</formula>
    </cfRule>
  </conditionalFormatting>
  <conditionalFormatting sqref="G19:H19">
    <cfRule type="expression" priority="64" dxfId="0" stopIfTrue="1">
      <formula>IF(ISBLANK(G19:N19),TRUE,FALSE)</formula>
    </cfRule>
  </conditionalFormatting>
  <conditionalFormatting sqref="C19:F19">
    <cfRule type="expression" priority="65" dxfId="0" stopIfTrue="1">
      <formula>IF(ISBLANK(C19:K19),TRUE,FALSE)</formula>
    </cfRule>
  </conditionalFormatting>
  <conditionalFormatting sqref="C157:F157">
    <cfRule type="expression" priority="66" dxfId="0" stopIfTrue="1">
      <formula>IF(AND($M$157=TRUE,ISBLANK(C157:J157)),TRUE,FALSE)</formula>
    </cfRule>
  </conditionalFormatting>
  <conditionalFormatting sqref="G157:I157">
    <cfRule type="expression" priority="67" dxfId="0" stopIfTrue="1">
      <formula>IF(AND($M$157=TRUE,ISBLANK(G157:M157)),TRUE,FALSE)</formula>
    </cfRule>
  </conditionalFormatting>
  <conditionalFormatting sqref="J157">
    <cfRule type="expression" priority="68" dxfId="0" stopIfTrue="1">
      <formula>IF(AND($M$157=TRUE,ISBLANK(J157:O157)),TRUE,FALSE)</formula>
    </cfRule>
  </conditionalFormatting>
  <conditionalFormatting sqref="C155:F155">
    <cfRule type="expression" priority="69" dxfId="0" stopIfTrue="1">
      <formula>IF(AND($M$155=TRUE,ISBLANK(C155:J155)),TRUE,FALSE)</formula>
    </cfRule>
  </conditionalFormatting>
  <conditionalFormatting sqref="G155:I155">
    <cfRule type="expression" priority="70" dxfId="0" stopIfTrue="1">
      <formula>IF(AND($M$155=TRUE,ISBLANK(G155:M155)),TRUE,FALSE)</formula>
    </cfRule>
  </conditionalFormatting>
  <conditionalFormatting sqref="J155">
    <cfRule type="expression" priority="71" dxfId="0" stopIfTrue="1">
      <formula>IF(AND($M$155=TRUE,ISBLANK(J155:O155)),TRUE,FALSE)</formula>
    </cfRule>
  </conditionalFormatting>
  <conditionalFormatting sqref="I21">
    <cfRule type="expression" priority="53" dxfId="0" stopIfTrue="1">
      <formula>IF(ISBLANK(I21),TRUE,FALSE)</formula>
    </cfRule>
  </conditionalFormatting>
  <conditionalFormatting sqref="C100:D100">
    <cfRule type="expression" priority="52" dxfId="0" stopIfTrue="1">
      <formula>IF(ISBLANK(C100),TRUE,FALSE)</formula>
    </cfRule>
  </conditionalFormatting>
  <conditionalFormatting sqref="C106:D106">
    <cfRule type="expression" priority="51" dxfId="0" stopIfTrue="1">
      <formula>IF(ISBLANK(C106),TRUE,FALSE)</formula>
    </cfRule>
  </conditionalFormatting>
  <conditionalFormatting sqref="C35">
    <cfRule type="expression" priority="50" dxfId="0" stopIfTrue="1">
      <formula>IF(ISBLANK(C35),TRUE,FALSE)</formula>
    </cfRule>
  </conditionalFormatting>
  <conditionalFormatting sqref="C37">
    <cfRule type="expression" priority="49" dxfId="0" stopIfTrue="1">
      <formula>IF(ISBLANK(C37),TRUE,FALSE)</formula>
    </cfRule>
  </conditionalFormatting>
  <conditionalFormatting sqref="C39">
    <cfRule type="expression" priority="48" dxfId="0" stopIfTrue="1">
      <formula>IF(AND(ISBLANK(C39),$C$37="Lastschrifteinzug"),TRUE,FALSE)</formula>
    </cfRule>
  </conditionalFormatting>
  <conditionalFormatting sqref="D39">
    <cfRule type="expression" priority="47" dxfId="0" stopIfTrue="1">
      <formula>IF(AND(ISBLANK(D39),$C$37="Lastschrifteinzug"),TRUE,FALSE)</formula>
    </cfRule>
  </conditionalFormatting>
  <conditionalFormatting sqref="E39">
    <cfRule type="expression" priority="46" dxfId="0" stopIfTrue="1">
      <formula>IF(AND(ISBLANK(E39),$C$37="Lastschrifteinzug"),TRUE,FALSE)</formula>
    </cfRule>
  </conditionalFormatting>
  <conditionalFormatting sqref="G39">
    <cfRule type="expression" priority="45" dxfId="0" stopIfTrue="1">
      <formula>IF(AND(ISBLANK(G39),$C$37="Lastschrifteinzug"),TRUE,FALSE)</formula>
    </cfRule>
  </conditionalFormatting>
  <conditionalFormatting sqref="H39">
    <cfRule type="expression" priority="44" dxfId="0" stopIfTrue="1">
      <formula>IF(AND(ISBLANK(H39),$C$37="Lastschrifteinzug"),TRUE,FALSE)</formula>
    </cfRule>
  </conditionalFormatting>
  <conditionalFormatting sqref="J39">
    <cfRule type="expression" priority="43" dxfId="0" stopIfTrue="1">
      <formula>IF(AND(ISBLANK(J39),$C$37="Lastschrifteinzug"),TRUE,FALSE)</formula>
    </cfRule>
  </conditionalFormatting>
  <conditionalFormatting sqref="J61">
    <cfRule type="expression" priority="42" dxfId="0" stopIfTrue="1">
      <formula>IF(ISBLANK(J61),TRUE,FALSE)</formula>
    </cfRule>
  </conditionalFormatting>
  <conditionalFormatting sqref="J63">
    <cfRule type="expression" priority="41" dxfId="0" stopIfTrue="1">
      <formula>IF(ISBLANK(J63),TRUE,FALSE)</formula>
    </cfRule>
  </conditionalFormatting>
  <conditionalFormatting sqref="J65">
    <cfRule type="expression" priority="40" dxfId="0" stopIfTrue="1">
      <formula>IF(ISBLANK(J65),TRUE,FALSE)</formula>
    </cfRule>
  </conditionalFormatting>
  <conditionalFormatting sqref="D47">
    <cfRule type="expression" priority="39" dxfId="0" stopIfTrue="1">
      <formula>IF(ISBLANK(D47),TRUE,FALSE)</formula>
    </cfRule>
  </conditionalFormatting>
  <conditionalFormatting sqref="D53">
    <cfRule type="expression" priority="38" dxfId="0" stopIfTrue="1">
      <formula>IF(ISBLANK(D53),TRUE,FALSE)</formula>
    </cfRule>
  </conditionalFormatting>
  <conditionalFormatting sqref="H7">
    <cfRule type="expression" priority="37" dxfId="9" stopIfTrue="1">
      <formula>IF(ISBLANK(H7),TRUE,FALSE)</formula>
    </cfRule>
  </conditionalFormatting>
  <conditionalFormatting sqref="C41">
    <cfRule type="expression" priority="36" dxfId="0" stopIfTrue="1">
      <formula>IF(AND(ISBLANK(C41),$C$37="Lastschrifteinzug"),TRUE,FALSE)</formula>
    </cfRule>
  </conditionalFormatting>
  <conditionalFormatting sqref="H53">
    <cfRule type="expression" priority="6" dxfId="4" stopIfTrue="1">
      <formula>IF(D53="nein",TRUE,FALSE)</formula>
    </cfRule>
    <cfRule type="expression" priority="35" dxfId="0" stopIfTrue="1">
      <formula>IF(AND(ISBLANK(H53),$D$53="ja"),TRUE,FALSE)</formula>
    </cfRule>
  </conditionalFormatting>
  <conditionalFormatting sqref="K53">
    <cfRule type="expression" priority="5" dxfId="4" stopIfTrue="1">
      <formula>IF(D53="nein",TRUE,FALSE)</formula>
    </cfRule>
    <cfRule type="expression" priority="34" dxfId="0" stopIfTrue="1">
      <formula>IF(AND(ISBLANK(K53),$D$53="ja"),TRUE,FALSE)</formula>
    </cfRule>
  </conditionalFormatting>
  <conditionalFormatting sqref="H55">
    <cfRule type="expression" priority="4" dxfId="4" stopIfTrue="1">
      <formula>IF(D53="nein",TRUE,FALSE)</formula>
    </cfRule>
    <cfRule type="expression" priority="33" dxfId="0" stopIfTrue="1">
      <formula>IF(AND(ISBLANK(H55),$D$53="ja"),TRUE,FALSE)</formula>
    </cfRule>
  </conditionalFormatting>
  <conditionalFormatting sqref="K55">
    <cfRule type="expression" priority="3" dxfId="4" stopIfTrue="1">
      <formula>IF(D53="nein",TRUE,FALSE)</formula>
    </cfRule>
    <cfRule type="expression" priority="32" dxfId="0" stopIfTrue="1">
      <formula>IF(AND(ISBLANK(K55),$D$53="ja"),TRUE,FALSE)</formula>
    </cfRule>
  </conditionalFormatting>
  <conditionalFormatting sqref="H47">
    <cfRule type="expression" priority="31" dxfId="0" stopIfTrue="1">
      <formula>IF(AND(ISBLANK(H47),$D$47="ja"),TRUE,FALSE)</formula>
    </cfRule>
  </conditionalFormatting>
  <conditionalFormatting sqref="H49">
    <cfRule type="expression" priority="30" dxfId="0" stopIfTrue="1">
      <formula>IF(AND(ISBLANK(H49),$D$47="ja"),TRUE,FALSE)</formula>
    </cfRule>
  </conditionalFormatting>
  <conditionalFormatting sqref="D77">
    <cfRule type="expression" priority="29" dxfId="0" stopIfTrue="1">
      <formula>IF(AND(NOT(ISBLANK(D74)),ISBLANK(D77)),TRUE,FALSE)</formula>
    </cfRule>
  </conditionalFormatting>
  <conditionalFormatting sqref="D86">
    <cfRule type="expression" priority="28" dxfId="0" stopIfTrue="1">
      <formula>IF(ISBLANK(D86),TRUE,FALSE)</formula>
    </cfRule>
  </conditionalFormatting>
  <conditionalFormatting sqref="H90">
    <cfRule type="expression" priority="27" dxfId="0" stopIfTrue="1">
      <formula>IF(ISBLANK(H90),TRUE,FALSE)</formula>
    </cfRule>
  </conditionalFormatting>
  <conditionalFormatting sqref="D79">
    <cfRule type="expression" priority="26" dxfId="0" stopIfTrue="1">
      <formula>IF(AND(NOT(ISBLANK(D74)),ISBLANK(D79)),TRUE,FALSE)</formula>
    </cfRule>
  </conditionalFormatting>
  <conditionalFormatting sqref="D81">
    <cfRule type="expression" priority="25" dxfId="0" stopIfTrue="1">
      <formula>IF(AND(NOT(ISBLANK(D74)),ISBLANK(D81)),TRUE,FALSE)</formula>
    </cfRule>
  </conditionalFormatting>
  <conditionalFormatting sqref="D83">
    <cfRule type="expression" priority="24" dxfId="0" stopIfTrue="1">
      <formula>IF(AND(NOT(ISBLANK(D74)),ISBLANK(D83)),TRUE,FALSE)</formula>
    </cfRule>
  </conditionalFormatting>
  <conditionalFormatting sqref="G77">
    <cfRule type="expression" priority="23" dxfId="0" stopIfTrue="1">
      <formula>IF(AND(NOT(ISBLANK(G74)),ISBLANK(G77)),TRUE,FALSE)</formula>
    </cfRule>
  </conditionalFormatting>
  <conditionalFormatting sqref="J77">
    <cfRule type="expression" priority="22" dxfId="0" stopIfTrue="1">
      <formula>IF(AND(NOT(ISBLANK(J74)),ISBLANK(J77)),TRUE,FALSE)</formula>
    </cfRule>
  </conditionalFormatting>
  <conditionalFormatting sqref="G79">
    <cfRule type="expression" priority="21" dxfId="0" stopIfTrue="1">
      <formula>IF(AND(NOT(ISBLANK(G74)),ISBLANK(G79)),TRUE,FALSE)</formula>
    </cfRule>
  </conditionalFormatting>
  <conditionalFormatting sqref="J79">
    <cfRule type="expression" priority="20" dxfId="0" stopIfTrue="1">
      <formula>IF(AND(NOT(ISBLANK(J74)),ISBLANK(J79)),TRUE,FALSE)</formula>
    </cfRule>
  </conditionalFormatting>
  <conditionalFormatting sqref="G83">
    <cfRule type="expression" priority="19" dxfId="0" stopIfTrue="1">
      <formula>IF(AND(NOT(ISBLANK(G74)),ISBLANK(G83)),TRUE,FALSE)</formula>
    </cfRule>
  </conditionalFormatting>
  <conditionalFormatting sqref="J83">
    <cfRule type="expression" priority="18" dxfId="0" stopIfTrue="1">
      <formula>IF(AND(NOT(ISBLANK(J74)),ISBLANK(J83)),TRUE,FALSE)</formula>
    </cfRule>
  </conditionalFormatting>
  <conditionalFormatting sqref="E27:J27">
    <cfRule type="expression" priority="17" dxfId="0" stopIfTrue="1">
      <formula>IF(AND(ISBLANK(E27),$L$27=TRUE),TRUE,FALSE)</formula>
    </cfRule>
  </conditionalFormatting>
  <conditionalFormatting sqref="G81">
    <cfRule type="expression" priority="16" dxfId="0" stopIfTrue="1">
      <formula>IF(AND(NOT(ISBLANK(G74)),ISBLANK(G81)),TRUE,FALSE)</formula>
    </cfRule>
  </conditionalFormatting>
  <conditionalFormatting sqref="J81">
    <cfRule type="expression" priority="15" dxfId="0" stopIfTrue="1">
      <formula>IF(AND(NOT(ISBLANK(J74)),ISBLANK(J81)),TRUE,FALSE)</formula>
    </cfRule>
  </conditionalFormatting>
  <conditionalFormatting sqref="D84">
    <cfRule type="expression" priority="14" dxfId="12" stopIfTrue="1">
      <formula>IF(D84="",TRUE,FALSE)</formula>
    </cfRule>
  </conditionalFormatting>
  <conditionalFormatting sqref="G84">
    <cfRule type="expression" priority="13" dxfId="12" stopIfTrue="1">
      <formula>IF(G84="",TRUE,FALSE)</formula>
    </cfRule>
  </conditionalFormatting>
  <conditionalFormatting sqref="J84">
    <cfRule type="expression" priority="12" dxfId="12" stopIfTrue="1">
      <formula>IF(J84="",TRUE,FALSE)</formula>
    </cfRule>
  </conditionalFormatting>
  <conditionalFormatting sqref="H68">
    <cfRule type="expression" priority="11" dxfId="8" stopIfTrue="1">
      <formula>IF(H68="",TRUE,FALSE)</formula>
    </cfRule>
  </conditionalFormatting>
  <conditionalFormatting sqref="J19">
    <cfRule type="expression" priority="72" dxfId="0" stopIfTrue="1">
      <formula>IF(ISBLANK(J19:O19),TRUE,FALSE)</formula>
    </cfRule>
  </conditionalFormatting>
  <conditionalFormatting sqref="J138">
    <cfRule type="expression" priority="10" dxfId="9" stopIfTrue="1">
      <formula>IF(AND($O$136=TRUE,($J$136=0)),TRUE,FALSE)</formula>
    </cfRule>
  </conditionalFormatting>
  <conditionalFormatting sqref="H58">
    <cfRule type="expression" priority="9" dxfId="8" stopIfTrue="1">
      <formula>IF(H58="",TRUE,FALSE)</formula>
    </cfRule>
  </conditionalFormatting>
  <conditionalFormatting sqref="D51">
    <cfRule type="expression" priority="7" dxfId="4" stopIfTrue="1">
      <formula>IF(AND(D51&lt;&gt;"",$D$47="nein"),TRUE,FALSE)</formula>
    </cfRule>
    <cfRule type="expression" priority="8" dxfId="0" stopIfTrue="1">
      <formula>IF(AND(D51="Bitte wählen",$D$47="ja"),TRUE,FALSE)</formula>
    </cfRule>
  </conditionalFormatting>
  <conditionalFormatting sqref="H47:K47">
    <cfRule type="expression" priority="2" dxfId="4" stopIfTrue="1">
      <formula>IF(D47="nein",TRUE,FALSE)</formula>
    </cfRule>
  </conditionalFormatting>
  <conditionalFormatting sqref="H49:K49">
    <cfRule type="expression" priority="1" dxfId="4" stopIfTrue="1">
      <formula>IF(D47="nein",TRUE,FALSE)</formula>
    </cfRule>
  </conditionalFormatting>
  <conditionalFormatting sqref="K157">
    <cfRule type="expression" priority="142" dxfId="0" stopIfTrue="1">
      <formula>IF(AND($M$157=TRUE,ISBLANK(K157:O157)),TRUE,FALSE)</formula>
    </cfRule>
  </conditionalFormatting>
  <conditionalFormatting sqref="K155">
    <cfRule type="expression" priority="144" dxfId="0" stopIfTrue="1">
      <formula>IF(AND($M$155=TRUE,ISBLANK(K155:O155)),TRUE,FALSE)</formula>
    </cfRule>
  </conditionalFormatting>
  <conditionalFormatting sqref="K19">
    <cfRule type="expression" priority="147" dxfId="0" stopIfTrue="1">
      <formula>IF(ISBLANK(K19:O19),TRUE,FALSE)</formula>
    </cfRule>
  </conditionalFormatting>
  <conditionalFormatting sqref="I19">
    <cfRule type="expression" priority="148" dxfId="0" stopIfTrue="1">
      <formula>IF(ISBLANK(I19:O19),TRUE,FALSE)</formula>
    </cfRule>
  </conditionalFormatting>
  <dataValidations count="12">
    <dataValidation type="whole" allowBlank="1" showInputMessage="1" showErrorMessage="1" error="Bitte überprüfen Sie die Eingabe" sqref="D81:E81 G81:H81 J81:K81">
      <formula1>1900</formula1>
      <formula2>YEAR(TODAY())</formula2>
    </dataValidation>
    <dataValidation type="list" allowBlank="1" showInputMessage="1" showErrorMessage="1" sqref="D72:E72 G72:H72 J72:K72">
      <formula1>"Bitte wählen,Erntemaschinen,Zugmaschinen,Arbeitsmaschinen,Anhänger,Anbaugeräte,Ladegeräte,Spezialfahrzeuge"</formula1>
    </dataValidation>
    <dataValidation type="list" allowBlank="1" showInputMessage="1" showErrorMessage="1" sqref="D51">
      <formula1>"Bitte wählen,Vers.-nehmer,Versicherer"</formula1>
    </dataValidation>
    <dataValidation type="list" allowBlank="1" showInputMessage="1" showErrorMessage="1" sqref="C37:D37">
      <formula1>"Rechnung,Lastschrifteinzug"</formula1>
    </dataValidation>
    <dataValidation type="list" allowBlank="1" showInputMessage="1" showErrorMessage="1" sqref="C35">
      <formula1>"jährlich,halbjährlich,vierteljährlich,monatlich*"</formula1>
    </dataValidation>
    <dataValidation type="list" allowBlank="1" showInputMessage="1" showErrorMessage="1" sqref="H90">
      <formula1>"E x k l u s i v,P r e m i u m"</formula1>
    </dataValidation>
    <dataValidation type="list" allowBlank="1" showInputMessage="1" showErrorMessage="1" sqref="C94:E94 C100:E100 C106:E106">
      <formula1>"Bitte wählen,Vollschutz,Kaskoschutz,Teilschutz"</formula1>
    </dataValidation>
    <dataValidation type="list" allowBlank="1" showInputMessage="1" showErrorMessage="1" sqref="D86 J61 J63 J65 D47 D53">
      <formula1>"ja,nein"</formula1>
    </dataValidation>
    <dataValidation type="list" allowBlank="1" showInputMessage="1" showErrorMessage="1" sqref="J134">
      <formula1>"0,05,0,10,0,15,0,20"</formula1>
    </dataValidation>
    <dataValidation type="list" allowBlank="1" showInputMessage="1" showErrorMessage="1" sqref="J136">
      <formula1>"0,0,0,1,0,2,0,25,0,3"</formula1>
    </dataValidation>
    <dataValidation type="list" allowBlank="1" showInputMessage="1" showErrorMessage="1" sqref="J128">
      <formula1>"0,0,05,0,10,0,15"</formula1>
    </dataValidation>
    <dataValidation type="list" allowBlank="1" showInputMessage="1" showErrorMessage="1" sqref="G74:H74 D74:E74 J74:K74">
      <formula1>OFFSET($R$470:$W$506,1,MATCH(G$72,$R$470:$W$470,0)-1,COUNTA(INDEX($R$470:$W$506,,MATCH(G$72,$R$470:$W$470,0)))-1,1)</formula1>
    </dataValidation>
  </dataValidations>
  <hyperlinks>
    <hyperlink ref="C13" r:id="rId1" display="TV-Underwriting@Inter.de"/>
  </hyperlinks>
  <printOptions/>
  <pageMargins left="0.3937007874015748" right="0.3937007874015748" top="0.3937007874015748" bottom="0.1968503937007874" header="0.11811023622047245" footer="0.11811023622047245"/>
  <pageSetup horizontalDpi="600" verticalDpi="600" orientation="portrait" paperSize="9" scale="99" r:id="rId3"/>
  <rowBreaks count="1" manualBreakCount="1">
    <brk id="89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 Versicherungen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schmidtr</dc:creator>
  <cp:keywords/>
  <dc:description/>
  <cp:lastModifiedBy>Andreas Janßen</cp:lastModifiedBy>
  <cp:lastPrinted>2020-08-11T12:33:28Z</cp:lastPrinted>
  <dcterms:created xsi:type="dcterms:W3CDTF">2013-09-10T13:08:30Z</dcterms:created>
  <dcterms:modified xsi:type="dcterms:W3CDTF">2022-01-24T14:08:10Z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